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showInkAnnotation="0"/>
  <mc:AlternateContent xmlns:mc="http://schemas.openxmlformats.org/markup-compatibility/2006">
    <mc:Choice Requires="x15">
      <x15ac:absPath xmlns:x15ac="http://schemas.microsoft.com/office/spreadsheetml/2010/11/ac" url="/Users/G5/My drive (kfpcwebsite@gmail.com) (1)/Parish Council/RFO finances/Accounts 25-26/"/>
    </mc:Choice>
  </mc:AlternateContent>
  <xr:revisionPtr revIDLastSave="0" documentId="13_ncr:1_{6C5F499C-CDF1-354B-AA21-8FAA3037B4AD}" xr6:coauthVersionLast="47" xr6:coauthVersionMax="47" xr10:uidLastSave="{00000000-0000-0000-0000-000000000000}"/>
  <bookViews>
    <workbookView xWindow="2320" yWindow="600" windowWidth="39020" windowHeight="23360" tabRatio="856" firstSheet="1" activeTab="3" xr2:uid="{00000000-000D-0000-FFFF-FFFF00000000}"/>
  </bookViews>
  <sheets>
    <sheet name="1.Bank Balance" sheetId="4" r:id="rId1"/>
    <sheet name="2.Receipts" sheetId="1" r:id="rId2"/>
    <sheet name="3.Payments" sheetId="2" r:id="rId3"/>
    <sheet name="4.Bank Reconciliation" sheetId="5" r:id="rId4"/>
    <sheet name="5.Budget monitor" sheetId="12" r:id="rId5"/>
    <sheet name="6.25-26 budget (approved)" sheetId="22" r:id="rId6"/>
    <sheet name="7.26-27 budget (Approved)" sheetId="23" r:id="rId7"/>
    <sheet name="8.Statement of accounts" sheetId="3" r:id="rId8"/>
    <sheet name="9.Summary of Rxs &amp; Pmts" sheetId="16" r:id="rId9"/>
    <sheet name="Sheet1" sheetId="18" r:id="rId10"/>
  </sheets>
  <definedNames>
    <definedName name="_xlnm._FilterDatabase" localSheetId="2" hidden="1">'3.Payments'!$A$1:$Y$109</definedName>
    <definedName name="_xlnm.Print_Area" localSheetId="0">'1.Bank Balance'!$A$1:$L$27</definedName>
    <definedName name="_xlnm.Print_Area" localSheetId="1">'2.Receipts'!$A$1:$R$36</definedName>
    <definedName name="_xlnm.Print_Area" localSheetId="2">'3.Payments'!$A$1:$X$109</definedName>
    <definedName name="_xlnm.Print_Area" localSheetId="3">'4.Bank Reconciliation'!$A$1:$D$25</definedName>
    <definedName name="_xlnm.Print_Area" localSheetId="4">'5.Budget monitor'!$A$1:$Q$33</definedName>
    <definedName name="_xlnm.Print_Area" localSheetId="5">'6.25-26 budget (approved)'!$A$1:$AH$51</definedName>
    <definedName name="_xlnm.Print_Area" localSheetId="6">'7.26-27 budget (Approved)'!$A$1:$AJ$51</definedName>
    <definedName name="_xlnm.Print_Area" localSheetId="7">'8.Statement of accounts'!$A$1:$K$49</definedName>
    <definedName name="_xlnm.Print_Area" localSheetId="8">'9.Summary of Rxs &amp; Pmts'!$A$1:$P$32</definedName>
    <definedName name="_xlnm.Print_Titles" localSheetId="2">'3.Payments'!$1:$1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84" i="2" l="1"/>
  <c r="C9" i="3"/>
  <c r="I36" i="1" l="1"/>
  <c r="AE4" i="22"/>
  <c r="D16" i="5"/>
  <c r="N8" i="12"/>
  <c r="N12" i="12"/>
  <c r="N14" i="12"/>
  <c r="N16" i="12"/>
  <c r="M10" i="12"/>
  <c r="H81" i="2"/>
  <c r="Q83" i="2"/>
  <c r="T82" i="2"/>
  <c r="L80" i="2"/>
  <c r="H79" i="2"/>
  <c r="L3" i="12"/>
  <c r="L15" i="12"/>
  <c r="L10" i="12"/>
  <c r="L6" i="12"/>
  <c r="T78" i="2"/>
  <c r="Q77" i="2"/>
  <c r="L76" i="2"/>
  <c r="H75" i="2"/>
  <c r="O13" i="1"/>
  <c r="K15" i="12"/>
  <c r="K13" i="12"/>
  <c r="K10" i="12"/>
  <c r="K6" i="12"/>
  <c r="K3" i="12"/>
  <c r="G70" i="2"/>
  <c r="G55" i="2"/>
  <c r="G56" i="2"/>
  <c r="G54" i="2"/>
  <c r="G53" i="2"/>
  <c r="G50" i="2"/>
  <c r="Q11" i="1"/>
  <c r="T74" i="2"/>
  <c r="Q73" i="2"/>
  <c r="L72" i="2"/>
  <c r="H71" i="2"/>
  <c r="O70" i="2"/>
  <c r="Q69" i="2"/>
  <c r="J11" i="12"/>
  <c r="M66" i="2"/>
  <c r="J15" i="12"/>
  <c r="J10" i="12"/>
  <c r="L68" i="2"/>
  <c r="J6" i="12"/>
  <c r="T67" i="2"/>
  <c r="H65" i="2"/>
  <c r="H64" i="2"/>
  <c r="Q60" i="2"/>
  <c r="I10" i="12" l="1"/>
  <c r="G10" i="12"/>
  <c r="F10" i="12"/>
  <c r="E10" i="12"/>
  <c r="D10" i="12"/>
  <c r="I13" i="12"/>
  <c r="I17" i="12"/>
  <c r="I15" i="12"/>
  <c r="I6" i="12"/>
  <c r="I3" i="12"/>
  <c r="T59" i="2"/>
  <c r="S58" i="2"/>
  <c r="O49" i="2"/>
  <c r="O50" i="2"/>
  <c r="O51" i="2"/>
  <c r="O52" i="2"/>
  <c r="O53" i="2"/>
  <c r="O54" i="2"/>
  <c r="O55" i="2"/>
  <c r="O56" i="2"/>
  <c r="O57" i="2"/>
  <c r="O48" i="2"/>
  <c r="F50" i="2"/>
  <c r="F51" i="2" s="1"/>
  <c r="F52" i="2" s="1"/>
  <c r="F53" i="2" s="1"/>
  <c r="F54" i="2" s="1"/>
  <c r="F55" i="2" s="1"/>
  <c r="F56" i="2" s="1"/>
  <c r="F57" i="2" s="1"/>
  <c r="F49" i="2"/>
  <c r="Q47" i="2" l="1"/>
  <c r="H46" i="2"/>
  <c r="L45" i="2"/>
  <c r="M10" i="1"/>
  <c r="H13" i="12"/>
  <c r="N13" i="12" s="1"/>
  <c r="H21" i="12"/>
  <c r="H17" i="12"/>
  <c r="H10" i="12"/>
  <c r="H9" i="12"/>
  <c r="N9" i="12" s="1"/>
  <c r="H6" i="12"/>
  <c r="H3" i="12"/>
  <c r="T44" i="2"/>
  <c r="K8" i="1"/>
  <c r="K4" i="1"/>
  <c r="I7" i="1"/>
  <c r="U43" i="2"/>
  <c r="U42" i="2"/>
  <c r="O41" i="2"/>
  <c r="S40" i="2" l="1"/>
  <c r="H39" i="2"/>
  <c r="L38" i="2"/>
  <c r="K37" i="2"/>
  <c r="AH45" i="23" l="1"/>
  <c r="X42" i="23"/>
  <c r="X33" i="23"/>
  <c r="X21" i="23"/>
  <c r="X15" i="23"/>
  <c r="T36" i="2"/>
  <c r="M47" i="23"/>
  <c r="U46" i="23"/>
  <c r="AB44" i="23"/>
  <c r="AB47" i="23" s="1"/>
  <c r="Y44" i="23"/>
  <c r="Y47" i="23" s="1"/>
  <c r="S44" i="23"/>
  <c r="S47" i="23" s="1"/>
  <c r="Q44" i="23"/>
  <c r="Q47" i="23" s="1"/>
  <c r="O44" i="23"/>
  <c r="O47" i="23" s="1"/>
  <c r="N44" i="23"/>
  <c r="N47" i="23" s="1"/>
  <c r="L44" i="23"/>
  <c r="L47" i="23" s="1"/>
  <c r="K44" i="23"/>
  <c r="K47" i="23" s="1"/>
  <c r="J44" i="23"/>
  <c r="J47" i="23" s="1"/>
  <c r="I44" i="23"/>
  <c r="H44" i="23"/>
  <c r="H47" i="23" s="1"/>
  <c r="G44" i="23"/>
  <c r="G47" i="23" s="1"/>
  <c r="F44" i="23"/>
  <c r="U43" i="23"/>
  <c r="U44" i="23" s="1"/>
  <c r="U48" i="23" s="1"/>
  <c r="AH44" i="23" s="1"/>
  <c r="M43" i="23"/>
  <c r="AI40" i="23"/>
  <c r="AB35" i="23"/>
  <c r="AB48" i="23" s="1"/>
  <c r="S35" i="23"/>
  <c r="S48" i="23" s="1"/>
  <c r="AH43" i="23" s="1"/>
  <c r="P35" i="23"/>
  <c r="N35" i="23"/>
  <c r="N46" i="23" s="1"/>
  <c r="M35" i="23"/>
  <c r="M46" i="23" s="1"/>
  <c r="K35" i="23"/>
  <c r="J35" i="23"/>
  <c r="J46" i="23" s="1"/>
  <c r="I35" i="23"/>
  <c r="H35" i="23"/>
  <c r="H46" i="23" s="1"/>
  <c r="G35" i="23"/>
  <c r="G46" i="23" s="1"/>
  <c r="F35" i="23"/>
  <c r="L33" i="23"/>
  <c r="L35" i="23" s="1"/>
  <c r="L48" i="23" s="1"/>
  <c r="Q32" i="23"/>
  <c r="Q31" i="23"/>
  <c r="V25" i="23"/>
  <c r="T25" i="23"/>
  <c r="V21" i="23"/>
  <c r="T21" i="23"/>
  <c r="O20" i="23"/>
  <c r="O17" i="23"/>
  <c r="T15" i="23"/>
  <c r="R15" i="23"/>
  <c r="V14" i="23"/>
  <c r="O13" i="23"/>
  <c r="T8" i="23"/>
  <c r="Q28" i="12"/>
  <c r="P21" i="12"/>
  <c r="Q35" i="23" l="1"/>
  <c r="S46" i="23"/>
  <c r="H48" i="23"/>
  <c r="K48" i="23"/>
  <c r="G48" i="23"/>
  <c r="K46" i="23"/>
  <c r="O35" i="23"/>
  <c r="O48" i="23" s="1"/>
  <c r="AH41" i="23" s="1"/>
  <c r="Q48" i="23"/>
  <c r="Q46" i="23"/>
  <c r="J48" i="23"/>
  <c r="AI44" i="23"/>
  <c r="AI43" i="23"/>
  <c r="U47" i="23"/>
  <c r="M48" i="23"/>
  <c r="AI39" i="23" s="1"/>
  <c r="N48" i="23"/>
  <c r="L46" i="23"/>
  <c r="AB46" i="23"/>
  <c r="O46" i="23" l="1"/>
  <c r="AI42" i="23"/>
  <c r="AI41" i="23"/>
  <c r="L35" i="2" l="1"/>
  <c r="L34" i="2"/>
  <c r="H33" i="2"/>
  <c r="H32" i="2"/>
  <c r="G6" i="12" s="1"/>
  <c r="F11" i="12"/>
  <c r="F6" i="12"/>
  <c r="L31" i="2"/>
  <c r="W30" i="2"/>
  <c r="M30" i="2"/>
  <c r="H29" i="2"/>
  <c r="L28" i="2"/>
  <c r="T27" i="2"/>
  <c r="L26" i="2"/>
  <c r="E17" i="12"/>
  <c r="N17" i="12" s="1"/>
  <c r="D15" i="12"/>
  <c r="N15" i="12" s="1"/>
  <c r="E6" i="12"/>
  <c r="T25" i="2"/>
  <c r="S24" i="2"/>
  <c r="O5" i="1"/>
  <c r="H23" i="2"/>
  <c r="Q22" i="2"/>
  <c r="T21" i="2"/>
  <c r="D11" i="12" l="1"/>
  <c r="V15" i="23"/>
  <c r="D6" i="12"/>
  <c r="H20" i="2"/>
  <c r="M19" i="2"/>
  <c r="M18" i="2"/>
  <c r="L17" i="2"/>
  <c r="H16" i="2"/>
  <c r="C10" i="12"/>
  <c r="C21" i="12"/>
  <c r="C11" i="12"/>
  <c r="N11" i="12" s="1"/>
  <c r="C6" i="12"/>
  <c r="E19" i="12"/>
  <c r="F19" i="12"/>
  <c r="G19" i="12"/>
  <c r="H19" i="12"/>
  <c r="I19" i="12"/>
  <c r="B3" i="12"/>
  <c r="N3" i="12" s="1"/>
  <c r="B10" i="12"/>
  <c r="N10" i="12" s="1"/>
  <c r="B7" i="12"/>
  <c r="N7" i="12" s="1"/>
  <c r="B6" i="12"/>
  <c r="N6" i="12" s="1"/>
  <c r="D3" i="5"/>
  <c r="N21" i="12" l="1"/>
  <c r="V33" i="23" s="1"/>
  <c r="V19" i="23"/>
  <c r="B19" i="12"/>
  <c r="D19" i="12"/>
  <c r="C19" i="12"/>
  <c r="T15" i="2" l="1"/>
  <c r="M3" i="1"/>
  <c r="I2" i="1"/>
  <c r="U14" i="2"/>
  <c r="U13" i="2"/>
  <c r="L12" i="2"/>
  <c r="M11" i="2"/>
  <c r="M10" i="2"/>
  <c r="L9" i="2"/>
  <c r="H8" i="2"/>
  <c r="AC33" i="22"/>
  <c r="L7" i="2"/>
  <c r="L6" i="2"/>
  <c r="L5" i="2"/>
  <c r="I4" i="2"/>
  <c r="S3" i="2"/>
  <c r="H2" i="2"/>
  <c r="L19" i="12"/>
  <c r="K19" i="12"/>
  <c r="J19" i="12"/>
  <c r="P17" i="12"/>
  <c r="P16" i="12"/>
  <c r="P15" i="12"/>
  <c r="P14" i="12"/>
  <c r="P12" i="12"/>
  <c r="P11" i="12"/>
  <c r="P8" i="12"/>
  <c r="P6" i="12"/>
  <c r="B25" i="12"/>
  <c r="B4" i="12"/>
  <c r="M19" i="12" l="1"/>
  <c r="N19" i="12" s="1"/>
  <c r="H28" i="1" l="1"/>
  <c r="W8" i="22"/>
  <c r="D5" i="4" l="1"/>
  <c r="F33" i="1"/>
  <c r="W44" i="22"/>
  <c r="V14" i="22"/>
  <c r="AE19" i="22" l="1"/>
  <c r="AC19" i="22"/>
  <c r="P7" i="12"/>
  <c r="W47" i="22" l="1"/>
  <c r="V25" i="22"/>
  <c r="V21" i="22"/>
  <c r="M47" i="22"/>
  <c r="Z44" i="22"/>
  <c r="Z47" i="22" s="1"/>
  <c r="S44" i="22"/>
  <c r="S47" i="22" s="1"/>
  <c r="Q44" i="22"/>
  <c r="Q47" i="22" s="1"/>
  <c r="O44" i="22"/>
  <c r="O47" i="22" s="1"/>
  <c r="N44" i="22"/>
  <c r="N47" i="22" s="1"/>
  <c r="L44" i="22"/>
  <c r="L47" i="22" s="1"/>
  <c r="K44" i="22"/>
  <c r="K47" i="22" s="1"/>
  <c r="J44" i="22"/>
  <c r="J47" i="22" s="1"/>
  <c r="I44" i="22"/>
  <c r="H44" i="22"/>
  <c r="H47" i="22" s="1"/>
  <c r="G44" i="22"/>
  <c r="G47" i="22" s="1"/>
  <c r="F44" i="22"/>
  <c r="U43" i="22"/>
  <c r="U44" i="22" s="1"/>
  <c r="U47" i="22" s="1"/>
  <c r="M43" i="22"/>
  <c r="AG40" i="22"/>
  <c r="Z35" i="22"/>
  <c r="S35" i="22"/>
  <c r="P35" i="22"/>
  <c r="N35" i="22"/>
  <c r="N48" i="22" s="1"/>
  <c r="M35" i="22"/>
  <c r="M48" i="22" s="1"/>
  <c r="AG39" i="22" s="1"/>
  <c r="K35" i="22"/>
  <c r="J35" i="22"/>
  <c r="J46" i="22" s="1"/>
  <c r="I35" i="22"/>
  <c r="H35" i="22"/>
  <c r="G35" i="22"/>
  <c r="G46" i="22" s="1"/>
  <c r="F35" i="22"/>
  <c r="L33" i="22"/>
  <c r="L35" i="22" s="1"/>
  <c r="L46" i="22" s="1"/>
  <c r="Q32" i="22"/>
  <c r="Q31" i="22"/>
  <c r="T25" i="22"/>
  <c r="T21" i="22"/>
  <c r="O20" i="22"/>
  <c r="O17" i="22"/>
  <c r="T15" i="22"/>
  <c r="R15" i="22"/>
  <c r="O13" i="22"/>
  <c r="T8" i="22"/>
  <c r="Q28" i="1"/>
  <c r="X63" i="2"/>
  <c r="X100" i="2" s="1"/>
  <c r="X103" i="2" s="1"/>
  <c r="E107" i="2" s="1"/>
  <c r="E14" i="16" l="1"/>
  <c r="C14" i="3"/>
  <c r="X61" i="2"/>
  <c r="K48" i="22"/>
  <c r="Q35" i="22"/>
  <c r="H48" i="22"/>
  <c r="O35" i="22"/>
  <c r="O48" i="22" s="1"/>
  <c r="AF41" i="22" s="1"/>
  <c r="Z48" i="22"/>
  <c r="G48" i="22"/>
  <c r="S48" i="22"/>
  <c r="AF43" i="22" s="1"/>
  <c r="AG43" i="22" s="1"/>
  <c r="J48" i="22"/>
  <c r="N46" i="22"/>
  <c r="Q48" i="22"/>
  <c r="Q46" i="22"/>
  <c r="U48" i="22"/>
  <c r="AF44" i="22" s="1"/>
  <c r="U46" i="22"/>
  <c r="L48" i="22"/>
  <c r="M46" i="22"/>
  <c r="H46" i="22"/>
  <c r="S46" i="22"/>
  <c r="K46" i="22"/>
  <c r="Z46" i="22"/>
  <c r="L28" i="1"/>
  <c r="F34" i="1" s="1"/>
  <c r="T61" i="2"/>
  <c r="K63" i="2"/>
  <c r="K100" i="2" s="1"/>
  <c r="K103" i="2" s="1"/>
  <c r="N63" i="2"/>
  <c r="N100" i="2" s="1"/>
  <c r="N103" i="2" s="1"/>
  <c r="O63" i="2"/>
  <c r="O100" i="2" s="1"/>
  <c r="O103" i="2" s="1"/>
  <c r="M63" i="2"/>
  <c r="M100" i="2" s="1"/>
  <c r="M103" i="2" s="1"/>
  <c r="P61" i="2"/>
  <c r="Q63" i="2"/>
  <c r="Q100" i="2" s="1"/>
  <c r="Q103" i="2" s="1"/>
  <c r="M28" i="1"/>
  <c r="E10" i="16" s="1"/>
  <c r="G10" i="16" s="1"/>
  <c r="I63" i="2"/>
  <c r="I100" i="2" s="1"/>
  <c r="I103" i="2" s="1"/>
  <c r="I25" i="16"/>
  <c r="M25" i="16" s="1"/>
  <c r="O25" i="16" s="1"/>
  <c r="I26" i="16"/>
  <c r="I20" i="16"/>
  <c r="I15" i="16"/>
  <c r="D61" i="2"/>
  <c r="R28" i="1"/>
  <c r="G14" i="16" s="1"/>
  <c r="O28" i="1"/>
  <c r="E12" i="16" s="1"/>
  <c r="G12" i="16" s="1"/>
  <c r="K28" i="1"/>
  <c r="E8" i="16" s="1"/>
  <c r="G8" i="16" s="1"/>
  <c r="O8" i="16" s="1"/>
  <c r="G28" i="1"/>
  <c r="F28" i="1"/>
  <c r="N28" i="1"/>
  <c r="E11" i="16" s="1"/>
  <c r="G11" i="16" s="1"/>
  <c r="J28" i="1"/>
  <c r="C7" i="3" s="1"/>
  <c r="P28" i="1"/>
  <c r="E13" i="16" s="1"/>
  <c r="G13" i="16" s="1"/>
  <c r="O12" i="16"/>
  <c r="I24" i="16"/>
  <c r="O8" i="12"/>
  <c r="Q8" i="12" s="1"/>
  <c r="O14" i="12"/>
  <c r="O16" i="12"/>
  <c r="E63" i="2"/>
  <c r="E100" i="2" s="1"/>
  <c r="E103" i="2" s="1"/>
  <c r="J63" i="2"/>
  <c r="J100" i="2" s="1"/>
  <c r="J103" i="2" s="1"/>
  <c r="I17" i="16"/>
  <c r="P63" i="2"/>
  <c r="P100" i="2" s="1"/>
  <c r="P103" i="2" s="1"/>
  <c r="I23" i="16"/>
  <c r="O23" i="16" s="1"/>
  <c r="R63" i="2"/>
  <c r="R100" i="2" s="1"/>
  <c r="R103" i="2" s="1"/>
  <c r="G25" i="3" s="1"/>
  <c r="S63" i="2"/>
  <c r="S100" i="2" s="1"/>
  <c r="S103" i="2" s="1"/>
  <c r="I27" i="16"/>
  <c r="O27" i="16" s="1"/>
  <c r="I29" i="16"/>
  <c r="O29" i="16" s="1"/>
  <c r="O14" i="16"/>
  <c r="O11" i="16"/>
  <c r="O13" i="16"/>
  <c r="O10" i="16"/>
  <c r="D63" i="2"/>
  <c r="D100" i="2" s="1"/>
  <c r="D103" i="2" s="1"/>
  <c r="H7" i="4" s="1"/>
  <c r="V63" i="2"/>
  <c r="V100" i="2" s="1"/>
  <c r="V103" i="2" s="1"/>
  <c r="D14" i="5"/>
  <c r="D17" i="5" s="1"/>
  <c r="W63" i="2"/>
  <c r="W100" i="2" s="1"/>
  <c r="W103" i="2" s="1"/>
  <c r="E61" i="2"/>
  <c r="I61" i="2"/>
  <c r="J61" i="2"/>
  <c r="K61" i="2"/>
  <c r="M61" i="2"/>
  <c r="N61" i="2"/>
  <c r="O61" i="2"/>
  <c r="R61" i="2"/>
  <c r="S61" i="2"/>
  <c r="V61" i="2"/>
  <c r="W61" i="2"/>
  <c r="I16" i="16"/>
  <c r="O17" i="12"/>
  <c r="I21" i="16"/>
  <c r="R32" i="23" l="1"/>
  <c r="X32" i="23"/>
  <c r="T32" i="23"/>
  <c r="D6" i="5"/>
  <c r="X43" i="23"/>
  <c r="D6" i="4"/>
  <c r="D8" i="4" s="1"/>
  <c r="B27" i="12" s="1"/>
  <c r="Q14" i="12"/>
  <c r="I28" i="16"/>
  <c r="Q16" i="12"/>
  <c r="Q27" i="12" s="1"/>
  <c r="Q17" i="12"/>
  <c r="O11" i="12"/>
  <c r="O15" i="12"/>
  <c r="O9" i="12"/>
  <c r="L63" i="2"/>
  <c r="L100" i="2" s="1"/>
  <c r="L103" i="2" s="1"/>
  <c r="G19" i="3" s="1"/>
  <c r="O13" i="12"/>
  <c r="O7" i="12"/>
  <c r="T63" i="2"/>
  <c r="T100" i="2" s="1"/>
  <c r="T103" i="2" s="1"/>
  <c r="K27" i="16" s="1"/>
  <c r="M27" i="16" s="1"/>
  <c r="L61" i="2"/>
  <c r="H63" i="2"/>
  <c r="H100" i="2" s="1"/>
  <c r="H103" i="2" s="1"/>
  <c r="G15" i="3" s="1"/>
  <c r="U63" i="2"/>
  <c r="U100" i="2" s="1"/>
  <c r="U103" i="2" s="1"/>
  <c r="G28" i="3" s="1"/>
  <c r="I28" i="1"/>
  <c r="E7" i="16"/>
  <c r="G7" i="16" s="1"/>
  <c r="O7" i="16" s="1"/>
  <c r="T32" i="22"/>
  <c r="R32" i="22"/>
  <c r="AG44" i="22"/>
  <c r="O46" i="22"/>
  <c r="AG41" i="22"/>
  <c r="AG42" i="22"/>
  <c r="C10" i="3"/>
  <c r="D28" i="1"/>
  <c r="H5" i="4" s="1"/>
  <c r="H6" i="4" s="1"/>
  <c r="C11" i="3"/>
  <c r="K23" i="16"/>
  <c r="M23" i="16" s="1"/>
  <c r="G23" i="3"/>
  <c r="K16" i="16"/>
  <c r="M16" i="16" s="1"/>
  <c r="O16" i="16" s="1"/>
  <c r="G16" i="3"/>
  <c r="K29" i="16"/>
  <c r="M29" i="16" s="1"/>
  <c r="G29" i="3"/>
  <c r="G26" i="3"/>
  <c r="K26" i="16"/>
  <c r="M26" i="16" s="1"/>
  <c r="O26" i="16" s="1"/>
  <c r="G21" i="3"/>
  <c r="K21" i="16"/>
  <c r="M21" i="16" s="1"/>
  <c r="O21" i="16" s="1"/>
  <c r="G20" i="3"/>
  <c r="K20" i="16"/>
  <c r="M20" i="16" s="1"/>
  <c r="O20" i="16" s="1"/>
  <c r="G17" i="3"/>
  <c r="K17" i="16"/>
  <c r="M17" i="16" s="1"/>
  <c r="O17" i="16" s="1"/>
  <c r="K22" i="16"/>
  <c r="G22" i="3"/>
  <c r="K18" i="16"/>
  <c r="G18" i="3"/>
  <c r="Q61" i="2"/>
  <c r="H61" i="2"/>
  <c r="C13" i="3"/>
  <c r="O6" i="12"/>
  <c r="O3" i="12"/>
  <c r="C8" i="3"/>
  <c r="C12" i="3"/>
  <c r="O12" i="12"/>
  <c r="D21" i="5"/>
  <c r="I33" i="3" s="1"/>
  <c r="E9" i="16"/>
  <c r="G9" i="16" s="1"/>
  <c r="O9" i="16" s="1"/>
  <c r="E105" i="2"/>
  <c r="C36" i="3"/>
  <c r="K24" i="16"/>
  <c r="G24" i="3"/>
  <c r="E106" i="2"/>
  <c r="R17" i="23" l="1"/>
  <c r="V17" i="23"/>
  <c r="X17" i="23"/>
  <c r="T17" i="23"/>
  <c r="X31" i="23"/>
  <c r="R31" i="23"/>
  <c r="T31" i="23"/>
  <c r="T13" i="23"/>
  <c r="X13" i="23"/>
  <c r="R13" i="23"/>
  <c r="V13" i="23"/>
  <c r="V22" i="22"/>
  <c r="V22" i="23"/>
  <c r="T22" i="23"/>
  <c r="R22" i="23"/>
  <c r="X22" i="23"/>
  <c r="Q11" i="12"/>
  <c r="X16" i="23"/>
  <c r="R16" i="23"/>
  <c r="T16" i="23"/>
  <c r="V16" i="23"/>
  <c r="R14" i="23"/>
  <c r="T14" i="23"/>
  <c r="R8" i="22"/>
  <c r="X8" i="23"/>
  <c r="R8" i="23"/>
  <c r="R16" i="22"/>
  <c r="T16" i="22"/>
  <c r="V16" i="22"/>
  <c r="R13" i="22"/>
  <c r="T13" i="22"/>
  <c r="V13" i="22"/>
  <c r="P9" i="12" s="1"/>
  <c r="I18" i="16" s="1"/>
  <c r="M18" i="16" s="1"/>
  <c r="O18" i="16" s="1"/>
  <c r="R22" i="22"/>
  <c r="T22" i="22"/>
  <c r="Q15" i="12"/>
  <c r="G27" i="3"/>
  <c r="I30" i="3" s="1"/>
  <c r="I34" i="3" s="1"/>
  <c r="K19" i="16"/>
  <c r="Q7" i="12"/>
  <c r="K15" i="16"/>
  <c r="M15" i="16" s="1"/>
  <c r="O15" i="16" s="1"/>
  <c r="R31" i="22"/>
  <c r="R14" i="22"/>
  <c r="T31" i="22"/>
  <c r="T14" i="22"/>
  <c r="U61" i="2"/>
  <c r="O10" i="12"/>
  <c r="T17" i="22"/>
  <c r="V17" i="22"/>
  <c r="R17" i="22"/>
  <c r="V33" i="22"/>
  <c r="O21" i="12"/>
  <c r="P10" i="12"/>
  <c r="I19" i="16" s="1"/>
  <c r="E6" i="16"/>
  <c r="C6" i="16" s="1"/>
  <c r="G6" i="16" s="1"/>
  <c r="G32" i="16" s="1"/>
  <c r="C6" i="3"/>
  <c r="E30" i="3" s="1"/>
  <c r="F30" i="1"/>
  <c r="F36" i="1" s="1"/>
  <c r="H8" i="4"/>
  <c r="H12" i="4" s="1"/>
  <c r="E5" i="3" s="1"/>
  <c r="K28" i="16"/>
  <c r="M28" i="16" s="1"/>
  <c r="O28" i="16" s="1"/>
  <c r="Q6" i="12"/>
  <c r="Q12" i="12"/>
  <c r="E108" i="2"/>
  <c r="M24" i="16"/>
  <c r="Q21" i="12" l="1"/>
  <c r="T33" i="23"/>
  <c r="R33" i="23"/>
  <c r="T18" i="22"/>
  <c r="R18" i="23"/>
  <c r="X18" i="23"/>
  <c r="T18" i="23"/>
  <c r="T35" i="23" s="1"/>
  <c r="Q9" i="12"/>
  <c r="M19" i="16"/>
  <c r="O19" i="16" s="1"/>
  <c r="E34" i="3"/>
  <c r="O6" i="16"/>
  <c r="C32" i="16"/>
  <c r="E32" i="16"/>
  <c r="O19" i="12"/>
  <c r="Q10" i="12"/>
  <c r="R18" i="22"/>
  <c r="T33" i="22"/>
  <c r="R33" i="22"/>
  <c r="N23" i="12"/>
  <c r="D4" i="5"/>
  <c r="D5" i="5" s="1"/>
  <c r="F37" i="1"/>
  <c r="K32" i="16"/>
  <c r="D7" i="5"/>
  <c r="E109" i="2"/>
  <c r="O24" i="16"/>
  <c r="R35" i="23" l="1"/>
  <c r="Y35" i="23"/>
  <c r="AG19" i="23" s="1"/>
  <c r="X35" i="23"/>
  <c r="T35" i="22"/>
  <c r="D9" i="5"/>
  <c r="D23" i="5" s="1"/>
  <c r="B25" i="5" s="1"/>
  <c r="O23" i="12"/>
  <c r="B26" i="12" s="1"/>
  <c r="B28" i="12" s="1"/>
  <c r="R35" i="22"/>
  <c r="W48" i="22"/>
  <c r="P13" i="12"/>
  <c r="P23" i="12" s="1"/>
  <c r="I22" i="16" l="1"/>
  <c r="V31" i="23"/>
  <c r="Y48" i="23"/>
  <c r="AH46" i="23" s="1"/>
  <c r="AI46" i="23" s="1"/>
  <c r="AE19" i="23"/>
  <c r="Y46" i="23"/>
  <c r="AE9" i="22"/>
  <c r="AE16" i="22" s="1"/>
  <c r="AG4" i="23"/>
  <c r="AG9" i="23" s="1"/>
  <c r="AG16" i="23" s="1"/>
  <c r="AI45" i="23"/>
  <c r="AF45" i="22"/>
  <c r="AG45" i="22" s="1"/>
  <c r="Q13" i="12"/>
  <c r="Q23" i="12"/>
  <c r="Q25" i="12" s="1"/>
  <c r="I32" i="16"/>
  <c r="M22" i="16"/>
  <c r="M32" i="16" s="1"/>
  <c r="V31" i="22"/>
  <c r="W46" i="22"/>
  <c r="V32" i="23" l="1"/>
  <c r="V35" i="23"/>
  <c r="Q26" i="12"/>
  <c r="Q29" i="12" s="1"/>
  <c r="V32" i="22"/>
  <c r="V35" i="22" s="1"/>
  <c r="O22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Graham Walker</author>
  </authors>
  <commentList>
    <comment ref="E3" authorId="0" shapeId="0" xr:uid="{1EC1C59A-CCE5-A542-B842-C577021A8AD7}">
      <text>
        <r>
          <rPr>
            <b/>
            <sz val="10"/>
            <color rgb="FF000000"/>
            <rFont val="Tahoma"/>
            <family val="2"/>
          </rPr>
          <t>Graham Walker: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CIL grant for VH</t>
        </r>
      </text>
    </comment>
    <comment ref="I3" authorId="0" shapeId="0" xr:uid="{861651E8-4CD4-A540-8490-7CAAD0AD6F91}">
      <text>
        <r>
          <rPr>
            <b/>
            <sz val="10"/>
            <color rgb="FF000000"/>
            <rFont val="Tahoma"/>
            <family val="2"/>
          </rPr>
          <t>Graham Walker: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CIL grant for VH</t>
        </r>
      </text>
    </comment>
    <comment ref="L3" authorId="0" shapeId="0" xr:uid="{D46A1810-32F5-C843-B542-A7FAA0F0E1AD}">
      <text>
        <r>
          <rPr>
            <b/>
            <sz val="10"/>
            <color rgb="FF000000"/>
            <rFont val="Tahoma"/>
            <family val="2"/>
          </rPr>
          <t>Graham Walker: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ESC grant for SID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Graham Walker</author>
  </authors>
  <commentList>
    <comment ref="R22" authorId="0" shapeId="0" xr:uid="{9BD7B2CB-08CB-F349-AB0E-CC9F533BB88F}">
      <text>
        <r>
          <rPr>
            <b/>
            <sz val="10"/>
            <color rgb="FF000000"/>
            <rFont val="Tahoma"/>
            <family val="2"/>
          </rPr>
          <t>inc Xmas lights @£2.5k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R32" authorId="0" shapeId="0" xr:uid="{43B8B209-36B9-684C-9DF7-D1C2AA8C4D85}">
      <text>
        <r>
          <rPr>
            <b/>
            <sz val="10"/>
            <color rgb="FF000000"/>
            <rFont val="Tahoma"/>
            <family val="2"/>
          </rPr>
          <t>Inc Koirton Scouts jubilee BBQ donation £155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T32" authorId="0" shapeId="0" xr:uid="{4CAC5F7A-A3DB-1A42-AC68-846A4332FD68}">
      <text>
        <r>
          <rPr>
            <b/>
            <sz val="10"/>
            <color rgb="FF000000"/>
            <rFont val="Tahoma"/>
            <family val="2"/>
          </rPr>
          <t>Inc Koirton Scouts jubilee BBQ donation £155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Graham Walker</author>
  </authors>
  <commentList>
    <comment ref="R22" authorId="0" shapeId="0" xr:uid="{0F406715-5326-B543-95F2-8B4697A50D06}">
      <text>
        <r>
          <rPr>
            <b/>
            <sz val="10"/>
            <color rgb="FF000000"/>
            <rFont val="Tahoma"/>
            <family val="2"/>
          </rPr>
          <t>inc Xmas lights @£2.5k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R32" authorId="0" shapeId="0" xr:uid="{F733D401-C032-4845-BE92-E8C20882E112}">
      <text>
        <r>
          <rPr>
            <b/>
            <sz val="10"/>
            <color rgb="FF000000"/>
            <rFont val="Tahoma"/>
            <family val="2"/>
          </rPr>
          <t>Inc Koirton Scouts jubilee BBQ donation £155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T32" authorId="0" shapeId="0" xr:uid="{7AECFD49-8379-804B-BA6E-D3E28941BF15}">
      <text>
        <r>
          <rPr>
            <b/>
            <sz val="10"/>
            <color rgb="FF000000"/>
            <rFont val="Tahoma"/>
            <family val="2"/>
          </rPr>
          <t>Inc Koirton Scouts jubilee BBQ donation £155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<sst xmlns="http://schemas.openxmlformats.org/spreadsheetml/2006/main" count="782" uniqueCount="312">
  <si>
    <t>Date</t>
  </si>
  <si>
    <t>Item</t>
  </si>
  <si>
    <t>Ref</t>
  </si>
  <si>
    <t xml:space="preserve"> </t>
  </si>
  <si>
    <t>*</t>
  </si>
  <si>
    <t>Total</t>
  </si>
  <si>
    <t>Total Income</t>
  </si>
  <si>
    <t>Payee</t>
  </si>
  <si>
    <t>Insurance</t>
  </si>
  <si>
    <t>Carried Fwd</t>
  </si>
  <si>
    <t>Brought Fwd</t>
  </si>
  <si>
    <t>C/fwd</t>
  </si>
  <si>
    <t>Cheque Paymts</t>
  </si>
  <si>
    <t>Less Transfers</t>
  </si>
  <si>
    <t>Total Expenditure</t>
  </si>
  <si>
    <t>Receipts</t>
  </si>
  <si>
    <t>Payments</t>
  </si>
  <si>
    <t>Barclays</t>
  </si>
  <si>
    <t>Electricity</t>
  </si>
  <si>
    <t>Maintenance</t>
  </si>
  <si>
    <t>1)</t>
  </si>
  <si>
    <t>2)</t>
  </si>
  <si>
    <t>+ Receipts</t>
  </si>
  <si>
    <t xml:space="preserve">-Payments </t>
  </si>
  <si>
    <t xml:space="preserve">Balance </t>
  </si>
  <si>
    <t>Balance</t>
  </si>
  <si>
    <t>Total:</t>
  </si>
  <si>
    <t xml:space="preserve">+ Receipts </t>
  </si>
  <si>
    <t>Spreadsheet Balance</t>
  </si>
  <si>
    <t>Unity</t>
  </si>
  <si>
    <t>Barclays (cheque)</t>
  </si>
  <si>
    <t>Chq No.</t>
  </si>
  <si>
    <t>Salaries/PAYE</t>
  </si>
  <si>
    <t>Subscriptions</t>
  </si>
  <si>
    <t>Insurances</t>
  </si>
  <si>
    <t>Miscellaneus (audit broadband etc</t>
  </si>
  <si>
    <t>Clerk Councillor expenses</t>
  </si>
  <si>
    <t>Training</t>
  </si>
  <si>
    <t>Grants 137 Comm projects</t>
  </si>
  <si>
    <t>Publicity</t>
  </si>
  <si>
    <t>Environmental Services</t>
  </si>
  <si>
    <t>Reserves</t>
  </si>
  <si>
    <t>Community Projects</t>
  </si>
  <si>
    <t>VAT paid</t>
  </si>
  <si>
    <t>Bank charges</t>
  </si>
  <si>
    <t>Precept</t>
  </si>
  <si>
    <t>Bank interest</t>
  </si>
  <si>
    <t>VAT refund PC</t>
  </si>
  <si>
    <t>VAT refund RG</t>
  </si>
  <si>
    <t>CIL</t>
  </si>
  <si>
    <t>SCC grant</t>
  </si>
  <si>
    <t>SCDC grant</t>
  </si>
  <si>
    <t xml:space="preserve">Cash in hand </t>
  </si>
  <si>
    <t>Date:</t>
  </si>
  <si>
    <t>A</t>
  </si>
  <si>
    <t>Unity Trust</t>
  </si>
  <si>
    <t>Adjusted bank balance</t>
  </si>
  <si>
    <t>- Uncleared Payments</t>
  </si>
  <si>
    <t>+Uncleared Receipts</t>
  </si>
  <si>
    <t>B</t>
  </si>
  <si>
    <t>+ Interest</t>
  </si>
  <si>
    <t>- Payments</t>
  </si>
  <si>
    <t>April</t>
  </si>
  <si>
    <t>May</t>
  </si>
  <si>
    <t>Jun</t>
  </si>
  <si>
    <t>July</t>
  </si>
  <si>
    <t>Aug</t>
  </si>
  <si>
    <t>Sept</t>
  </si>
  <si>
    <t>Oct</t>
  </si>
  <si>
    <t>Jan</t>
  </si>
  <si>
    <t>Feb</t>
  </si>
  <si>
    <t>March</t>
  </si>
  <si>
    <t>To date</t>
  </si>
  <si>
    <t>Forecast Outurn</t>
  </si>
  <si>
    <t>Currency £</t>
  </si>
  <si>
    <t xml:space="preserve">Final </t>
  </si>
  <si>
    <t xml:space="preserve">Gap </t>
  </si>
  <si>
    <t>Total receipts</t>
  </si>
  <si>
    <t xml:space="preserve">  </t>
  </si>
  <si>
    <t>General account</t>
  </si>
  <si>
    <t>RG Grant/Vat Refunds</t>
  </si>
  <si>
    <t>Transfer f/t reserves</t>
  </si>
  <si>
    <t xml:space="preserve">Forecast Current Account </t>
  </si>
  <si>
    <t>Numbers in BLACK = actual</t>
  </si>
  <si>
    <t xml:space="preserve">Forecast Total </t>
  </si>
  <si>
    <t>^ Less payments plus receipts not banked</t>
  </si>
  <si>
    <t>Barclays Premium</t>
  </si>
  <si>
    <t>Collections</t>
  </si>
  <si>
    <t>Recreation ground</t>
  </si>
  <si>
    <t>Election costs</t>
  </si>
  <si>
    <r>
      <t xml:space="preserve">           </t>
    </r>
    <r>
      <rPr>
        <b/>
        <u/>
        <sz val="14"/>
        <color indexed="40"/>
        <rFont val="Calibri"/>
        <family val="2"/>
      </rPr>
      <t>FORECASTS</t>
    </r>
  </si>
  <si>
    <t xml:space="preserve">     RESERVES</t>
  </si>
  <si>
    <t>2% costs inflation pa (approx)</t>
  </si>
  <si>
    <t xml:space="preserve">     (uncommitted)</t>
  </si>
  <si>
    <t>EXPENDITURE</t>
  </si>
  <si>
    <t>2017   TO</t>
  </si>
  <si>
    <t>TO</t>
  </si>
  <si>
    <t>Notes</t>
  </si>
  <si>
    <t>2020-21</t>
  </si>
  <si>
    <t>Budget £</t>
  </si>
  <si>
    <t>Actual £</t>
  </si>
  <si>
    <t>Forecast</t>
  </si>
  <si>
    <t>ADD</t>
  </si>
  <si>
    <t>to Nov 19</t>
  </si>
  <si>
    <t>to y/e</t>
  </si>
  <si>
    <t>VAT Refund</t>
  </si>
  <si>
    <t>ADMINISTRATION</t>
  </si>
  <si>
    <t>Salaries inc PAYE</t>
  </si>
  <si>
    <t>Stationery/post/telecoms</t>
  </si>
  <si>
    <t>Mileage</t>
  </si>
  <si>
    <t>LESS</t>
  </si>
  <si>
    <t>VG Electricity</t>
  </si>
  <si>
    <t>Grants</t>
  </si>
  <si>
    <t>Election</t>
  </si>
  <si>
    <t>Specialist Fees</t>
  </si>
  <si>
    <t>Membership SALC,CAS,SPS</t>
  </si>
  <si>
    <t>Audit</t>
  </si>
  <si>
    <t>Contingency</t>
  </si>
  <si>
    <t>Councillor Expenses</t>
  </si>
  <si>
    <t>Miscelleaneous</t>
  </si>
  <si>
    <t>Accounting &amp; Website fees</t>
  </si>
  <si>
    <t>Election fees reserve</t>
  </si>
  <si>
    <t>If contested</t>
  </si>
  <si>
    <t>Professional Fees reserve</t>
  </si>
  <si>
    <t>To build reserves</t>
  </si>
  <si>
    <t>ENVIRONMENTAL SERVICES</t>
  </si>
  <si>
    <t>Grass cutting</t>
  </si>
  <si>
    <t>Hedges/trees</t>
  </si>
  <si>
    <t>Repairs/Maintenance reserve.</t>
  </si>
  <si>
    <t>GRANT EXPENDITURE</t>
  </si>
  <si>
    <t>Comm Infrastructure Levy</t>
  </si>
  <si>
    <t>Loc Grant / Comm En Fund</t>
  </si>
  <si>
    <t>GRANTS OUT(s137)</t>
  </si>
  <si>
    <t>General Pool</t>
  </si>
  <si>
    <t>Recreation Ground</t>
  </si>
  <si>
    <t>GENERAL RESERVE</t>
  </si>
  <si>
    <t>TOTAL EXPENDITURE</t>
  </si>
  <si>
    <t>INCOME</t>
  </si>
  <si>
    <t>GRANTS IN</t>
  </si>
  <si>
    <t>SCC Locality Grant</t>
  </si>
  <si>
    <t>c/f  18/19</t>
  </si>
  <si>
    <t>SCDC Enabling Grants/Other</t>
  </si>
  <si>
    <t>Other grants/collection</t>
  </si>
  <si>
    <t>INTEREST</t>
  </si>
  <si>
    <t>TOTAL INCOME</t>
  </si>
  <si>
    <t>LESS TOTAL INCOME</t>
  </si>
  <si>
    <t xml:space="preserve">TOTAL PRECEPT REQUIRED </t>
  </si>
  <si>
    <t>Nov</t>
  </si>
  <si>
    <t>Dec</t>
  </si>
  <si>
    <r>
      <t>Numbers in RED = forecast based on last year's actual or this year's budget/</t>
    </r>
    <r>
      <rPr>
        <sz val="10"/>
        <rFont val="Arial"/>
        <family val="2"/>
      </rPr>
      <t>part actual</t>
    </r>
  </si>
  <si>
    <t>in the current month</t>
  </si>
  <si>
    <t>Opening current a/c for the financial year</t>
  </si>
  <si>
    <t>Cash in hand per Bank Statements</t>
  </si>
  <si>
    <t>Bank Reconciliation</t>
  </si>
  <si>
    <t>Barclays Interest</t>
  </si>
  <si>
    <t>BACS Payments</t>
  </si>
  <si>
    <t>BACS Receipts</t>
  </si>
  <si>
    <t>Barclays Receipts</t>
  </si>
  <si>
    <t>Does A=B ?</t>
  </si>
  <si>
    <t>Misc.</t>
  </si>
  <si>
    <t>Budget</t>
  </si>
  <si>
    <t>Inflation assumption</t>
  </si>
  <si>
    <t>Inc in Expenses</t>
  </si>
  <si>
    <t xml:space="preserve">     2019/20</t>
  </si>
  <si>
    <t>2018 TO</t>
  </si>
  <si>
    <t>TOTAL</t>
  </si>
  <si>
    <t>East Suffolk Council Grant</t>
  </si>
  <si>
    <t>SCC Grant</t>
  </si>
  <si>
    <t>Misc</t>
  </si>
  <si>
    <t>Balance at Bank</t>
  </si>
  <si>
    <t>VAT Paid (inclusive in the above)</t>
  </si>
  <si>
    <t>Closing Balances:</t>
  </si>
  <si>
    <t>Balances in Bank Account</t>
  </si>
  <si>
    <t>Kirton and Falkenham Parish Council</t>
  </si>
  <si>
    <t>STATEMENT OF ACCOUNTS</t>
  </si>
  <si>
    <t>Signed    _________________________________________________</t>
  </si>
  <si>
    <t>Date   ___________________________________________________</t>
  </si>
  <si>
    <t>Summary of Receipts and Payments</t>
  </si>
  <si>
    <t>Title</t>
  </si>
  <si>
    <t>Estimated</t>
  </si>
  <si>
    <t>Actual</t>
  </si>
  <si>
    <t>Variance</t>
  </si>
  <si>
    <t>Net Position</t>
  </si>
  <si>
    <t xml:space="preserve"> % (+/-) Under/over spend</t>
  </si>
  <si>
    <t>Miscellaneus (audit broadband etc)</t>
  </si>
  <si>
    <r>
      <t>Rec ground</t>
    </r>
    <r>
      <rPr>
        <sz val="10"/>
        <color indexed="8"/>
        <rFont val="Arial"/>
        <family val="2"/>
      </rPr>
      <t xml:space="preserve"> (inc VAT refund)</t>
    </r>
  </si>
  <si>
    <t xml:space="preserve">     2020/21</t>
  </si>
  <si>
    <t>2019/20</t>
  </si>
  <si>
    <t>2020/21</t>
  </si>
  <si>
    <t>f/c to y/e</t>
  </si>
  <si>
    <t>GJW v1</t>
  </si>
  <si>
    <t>2021/22</t>
  </si>
  <si>
    <t xml:space="preserve">     2021/22</t>
  </si>
  <si>
    <t>2022/23</t>
  </si>
  <si>
    <t>Estimate inc RG</t>
  </si>
  <si>
    <t>&amp;</t>
  </si>
  <si>
    <t>Recommended 3 to 12 months</t>
  </si>
  <si>
    <t>of turnover, which is between</t>
  </si>
  <si>
    <t xml:space="preserve">     2022/23</t>
  </si>
  <si>
    <t>Otherwise items are based on f/c to y/e &amp; are increased by inflation assumption</t>
  </si>
  <si>
    <t>Items in italic are not increased by inflation assumption</t>
  </si>
  <si>
    <t>Professional services reserve</t>
  </si>
  <si>
    <t>2023/24</t>
  </si>
  <si>
    <t xml:space="preserve">     2023/24</t>
  </si>
  <si>
    <t>2024/25</t>
  </si>
  <si>
    <r>
      <t xml:space="preserve">Note: Budget items in </t>
    </r>
    <r>
      <rPr>
        <sz val="11"/>
        <color theme="6" tint="-0.249977111117893"/>
        <rFont val="Calibri (Body)"/>
      </rPr>
      <t xml:space="preserve">green </t>
    </r>
    <r>
      <rPr>
        <sz val="11"/>
        <color theme="1"/>
        <rFont val="Calibri (Body)"/>
      </rPr>
      <t>are based on 23/24 budget</t>
    </r>
    <r>
      <rPr>
        <sz val="11"/>
        <color theme="1"/>
        <rFont val="Calibri"/>
        <family val="2"/>
        <scheme val="minor"/>
      </rPr>
      <t xml:space="preserve"> &amp; are increased by inflation assumption</t>
    </r>
  </si>
  <si>
    <t xml:space="preserve">     2024/25</t>
  </si>
  <si>
    <t>f/c exc VAT refund</t>
  </si>
  <si>
    <t>Unity Trust Savings</t>
  </si>
  <si>
    <t>Transfers to Unity</t>
  </si>
  <si>
    <t>Gross Receipts (inc transfers)</t>
  </si>
  <si>
    <t>Transfer Receipts to Unity</t>
  </si>
  <si>
    <t>Gross Payments (inc transfers)</t>
  </si>
  <si>
    <t xml:space="preserve">KIRTON AND FALKENHAM PARISH COUNCIL BUDGET 2025-2026                       </t>
  </si>
  <si>
    <t>2025/26</t>
  </si>
  <si>
    <t>Following review Oct 24</t>
  </si>
  <si>
    <t>To build reserves*</t>
  </si>
  <si>
    <t>£1.75K added 24/25</t>
  </si>
  <si>
    <t>£1k added 24/25</t>
  </si>
  <si>
    <t xml:space="preserve">     2025/26</t>
  </si>
  <si>
    <t>*Closing bank balance comparison:18/19 £35.5k; 19/20 £22.2k; 20/21 £27.8k; 21/22 £32.9k; 22/23 £33.4k; 23/24 36.4k</t>
  </si>
  <si>
    <t>Unity Savings</t>
  </si>
  <si>
    <t>Unity savings receipts</t>
  </si>
  <si>
    <t>Unity interest</t>
  </si>
  <si>
    <t>Unity (BACS unless in italics)</t>
  </si>
  <si>
    <t>+ Interest (Unity)</t>
  </si>
  <si>
    <t>Reserve Deposit (Unity)</t>
  </si>
  <si>
    <t>**</t>
  </si>
  <si>
    <t>** Per Bank reconciliation report Apr 25</t>
  </si>
  <si>
    <t>The above statement represents fairly the financial position of the council as at 31st March 2025</t>
  </si>
  <si>
    <t>B/F 01/04/25</t>
  </si>
  <si>
    <t>Unity Trust current</t>
  </si>
  <si>
    <t>Kirton and Falkenham Budget 2025/6</t>
  </si>
  <si>
    <r>
      <t xml:space="preserve">Current Account </t>
    </r>
    <r>
      <rPr>
        <b/>
        <sz val="10"/>
        <color indexed="10"/>
        <rFont val="Arial"/>
        <family val="2"/>
      </rPr>
      <t>^</t>
    </r>
  </si>
  <si>
    <r>
      <rPr>
        <sz val="16"/>
        <color indexed="10"/>
        <rFont val="Arial"/>
        <family val="2"/>
      </rPr>
      <t>*</t>
    </r>
    <r>
      <rPr>
        <sz val="11"/>
        <color theme="1"/>
        <rFont val="Calibri"/>
        <family val="2"/>
        <scheme val="minor"/>
      </rPr>
      <t xml:space="preserve"> Per Bank Reconciliation Report April 2025</t>
    </r>
  </si>
  <si>
    <t>Budget 25/6</t>
  </si>
  <si>
    <t>G Walker (salary)</t>
  </si>
  <si>
    <t>British Legion (VE day)</t>
  </si>
  <si>
    <t>SALC (subcription)</t>
  </si>
  <si>
    <t>Suffolk.cloud (email a/c)</t>
  </si>
  <si>
    <t>Suffolk.cloud (Website)</t>
  </si>
  <si>
    <t>G Walker (WFH expenses)</t>
  </si>
  <si>
    <t>DD</t>
  </si>
  <si>
    <t>G Walker (printer ink)</t>
  </si>
  <si>
    <t>P Lickert (expenses APM)</t>
  </si>
  <si>
    <t>Heelis &amp; Lodge (audit)</t>
  </si>
  <si>
    <t>RG grant</t>
  </si>
  <si>
    <t>RG VAT refund</t>
  </si>
  <si>
    <t>Precept (6 months)</t>
  </si>
  <si>
    <t>Service Charge (Apr)</t>
  </si>
  <si>
    <t>G Walker (audit mileage)</t>
  </si>
  <si>
    <t>D Jacobs (expenses)</t>
  </si>
  <si>
    <t>HMRC</t>
  </si>
  <si>
    <t>Service Charge (May)</t>
  </si>
  <si>
    <t>D Cope (Alley Rd)</t>
  </si>
  <si>
    <t>CIL grant for VH roof</t>
  </si>
  <si>
    <t>Service Charge (Jun)</t>
  </si>
  <si>
    <t>Service Charge (Jul)</t>
  </si>
  <si>
    <t>ICO</t>
  </si>
  <si>
    <t>G Walker (printer paper)</t>
  </si>
  <si>
    <t>PKF Littejohn  (ext audit)</t>
  </si>
  <si>
    <t>Exc RG VAT &amp; CIL grant</t>
  </si>
  <si>
    <t>Maintenance reserve</t>
  </si>
  <si>
    <t>Forecast underspend</t>
  </si>
  <si>
    <t>Prof serv reserve</t>
  </si>
  <si>
    <t xml:space="preserve">KIRTON AND FALKENHAM PARISH COUNCIL BUDGET 2026-2027                    </t>
  </si>
  <si>
    <t>2026/27</t>
  </si>
  <si>
    <r>
      <t xml:space="preserve">Note: Budget items in </t>
    </r>
    <r>
      <rPr>
        <sz val="11"/>
        <color theme="6" tint="-0.249977111117893"/>
        <rFont val="Calibri (Body)"/>
      </rPr>
      <t xml:space="preserve">green </t>
    </r>
    <r>
      <rPr>
        <sz val="11"/>
        <color theme="1"/>
        <rFont val="Calibri (Body)"/>
      </rPr>
      <t>are based on 25/6 budget</t>
    </r>
    <r>
      <rPr>
        <sz val="11"/>
        <color theme="1"/>
        <rFont val="Calibri"/>
        <family val="2"/>
        <scheme val="minor"/>
      </rPr>
      <t xml:space="preserve"> &amp; are increased by inflation assumption</t>
    </r>
  </si>
  <si>
    <t>Reduced to match spend</t>
  </si>
  <si>
    <t xml:space="preserve">     2026/27</t>
  </si>
  <si>
    <t>£1.275k added 25/26</t>
  </si>
  <si>
    <t>£2.4K added 25/26</t>
  </si>
  <si>
    <t>*Closing bank balance comparison:18/19 £35.5k; 19/20 £22.2k; 20/21 £27.8k; 21/22 £32.9k; 22/23 £33.4k; 23/24 36.4k; 24/25 42.15k</t>
  </si>
  <si>
    <t>Clear insurance</t>
  </si>
  <si>
    <t>Kirton Church PCC (mag)</t>
  </si>
  <si>
    <t>British Legion (wreaths)</t>
  </si>
  <si>
    <t>RG 6 month grant</t>
  </si>
  <si>
    <t>RG VAT reclaim Jan-Mar</t>
  </si>
  <si>
    <t>RG &amp; PC VAT reclaim</t>
  </si>
  <si>
    <t>Service Charge (Aug)</t>
  </si>
  <si>
    <t>Service Charge (Sep)</t>
  </si>
  <si>
    <t>CIL payment</t>
  </si>
  <si>
    <t>D Cope (Paddock Cl gate)</t>
  </si>
  <si>
    <t>St Elizabeth Hospice</t>
  </si>
  <si>
    <t>Lighthouse</t>
  </si>
  <si>
    <t>EA Air ambulance</t>
  </si>
  <si>
    <t>Homestart</t>
  </si>
  <si>
    <t>DAS (East Suffolk)</t>
  </si>
  <si>
    <t>Headway</t>
  </si>
  <si>
    <t>MAGPAS</t>
  </si>
  <si>
    <t>SARS</t>
  </si>
  <si>
    <t>EA Children's Hospice</t>
  </si>
  <si>
    <t>CAS</t>
  </si>
  <si>
    <t>Exc CIL grants</t>
  </si>
  <si>
    <t>East Suffolk Services (grass)</t>
  </si>
  <si>
    <t>G Walker (Xmas tree expenses)</t>
  </si>
  <si>
    <t>Service Charge (Oct)</t>
  </si>
  <si>
    <t>Service Charge (Nov)</t>
  </si>
  <si>
    <t>D Cope (VG hedge)</t>
  </si>
  <si>
    <t>Salvation army (Xmas coll.)</t>
  </si>
  <si>
    <t>Labelcraft (RG banner)</t>
  </si>
  <si>
    <t>Service Charge (Dec)</t>
  </si>
  <si>
    <t>Xmas Tree lighting</t>
  </si>
  <si>
    <t>ESC EC grant (SID)</t>
  </si>
  <si>
    <t>D Cope (Alley Rd hedge)</t>
  </si>
  <si>
    <t>E Jacobs (RG gate spring)</t>
  </si>
  <si>
    <t>Service Charge (Jan)</t>
  </si>
  <si>
    <t>Service Charge (Feb)</t>
  </si>
  <si>
    <t>SID (received grant)</t>
  </si>
  <si>
    <t>Added March 26</t>
  </si>
  <si>
    <t>Service Charge (Mar)</t>
  </si>
  <si>
    <t xml:space="preserve">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</si>
</sst>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&quot;$&quot;#,##0.00;[Red]\-&quot;$&quot;#,##0.00"/>
    <numFmt numFmtId="165" formatCode="_-* #,##0.00_-;\-* #,##0.00_-;_-* &quot;-&quot;??_-;_-@_-"/>
    <numFmt numFmtId="166" formatCode="&quot;$&quot;#,##0.00"/>
    <numFmt numFmtId="167" formatCode="dd/mm/yyyy;@"/>
    <numFmt numFmtId="168" formatCode="&quot;$&quot;#,##0"/>
    <numFmt numFmtId="169" formatCode="0.0%"/>
    <numFmt numFmtId="170" formatCode="&quot;£&quot;#,##0.00"/>
    <numFmt numFmtId="171" formatCode="&quot;£&quot;#,##0"/>
    <numFmt numFmtId="172" formatCode="0.0"/>
    <numFmt numFmtId="173" formatCode="_-* #,##0_-;\-* #,##0_-;_-* &quot;-&quot;??_-;_-@_-"/>
    <numFmt numFmtId="174" formatCode="0.000"/>
  </numFmts>
  <fonts count="8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b/>
      <sz val="9"/>
      <name val="Times New Roman"/>
      <family val="1"/>
    </font>
    <font>
      <sz val="8"/>
      <name val="Calibri"/>
      <family val="2"/>
    </font>
    <font>
      <sz val="8"/>
      <name val="Calibri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sz val="16"/>
      <color indexed="10"/>
      <name val="Arial"/>
      <family val="2"/>
    </font>
    <font>
      <b/>
      <u/>
      <sz val="14"/>
      <color indexed="40"/>
      <name val="Calibri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60"/>
      <name val="Arial"/>
      <family val="2"/>
    </font>
    <font>
      <b/>
      <sz val="10"/>
      <color indexed="60"/>
      <name val="Arial"/>
      <family val="2"/>
    </font>
    <font>
      <sz val="16"/>
      <color indexed="60"/>
      <name val="Arial"/>
      <family val="2"/>
    </font>
    <font>
      <b/>
      <sz val="20"/>
      <name val="Times New Roman"/>
      <family val="1"/>
    </font>
    <font>
      <sz val="20"/>
      <name val="Times New Roman"/>
      <family val="1"/>
    </font>
    <font>
      <u/>
      <sz val="20"/>
      <name val="Times New Roman"/>
      <family val="1"/>
    </font>
    <font>
      <sz val="8"/>
      <name val="Calibri"/>
      <family val="2"/>
    </font>
    <font>
      <sz val="8"/>
      <name val="Calibri"/>
      <family val="2"/>
    </font>
    <font>
      <b/>
      <u/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9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i/>
      <sz val="10"/>
      <color rgb="FFFF0000"/>
      <name val="Arial"/>
      <family val="2"/>
    </font>
    <font>
      <b/>
      <sz val="8"/>
      <color theme="1"/>
      <name val="Arial"/>
      <family val="2"/>
    </font>
    <font>
      <b/>
      <sz val="20"/>
      <color theme="1"/>
      <name val="Times New Roman"/>
      <family val="1"/>
    </font>
    <font>
      <b/>
      <sz val="14"/>
      <color rgb="FF00B050"/>
      <name val="Calibri"/>
      <family val="2"/>
      <scheme val="minor"/>
    </font>
    <font>
      <sz val="9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20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6" tint="-0.249977111117893"/>
      <name val="Calibri"/>
      <family val="2"/>
      <scheme val="minor"/>
    </font>
    <font>
      <sz val="11"/>
      <color theme="6" tint="-0.249977111117893"/>
      <name val="Calibri (Body)"/>
    </font>
    <font>
      <sz val="11"/>
      <color theme="1"/>
      <name val="Calibri (Body)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i/>
      <sz val="10"/>
      <color rgb="FFFF0000"/>
      <name val="Arial"/>
      <family val="2"/>
    </font>
    <font>
      <b/>
      <i/>
      <sz val="11"/>
      <color rgb="FF00B050"/>
      <name val="Calibri"/>
      <family val="2"/>
      <scheme val="minor"/>
    </font>
    <font>
      <sz val="10"/>
      <name val="Times New Roman"/>
      <family val="1"/>
    </font>
    <font>
      <b/>
      <sz val="10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</fills>
  <borders count="6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5" fontId="30" fillId="0" borderId="0" applyFont="0" applyFill="0" applyBorder="0" applyAlignment="0" applyProtection="0"/>
    <xf numFmtId="0" fontId="3" fillId="0" borderId="0"/>
    <xf numFmtId="9" fontId="30" fillId="0" borderId="0" applyFont="0" applyFill="0" applyBorder="0" applyAlignment="0" applyProtection="0"/>
  </cellStyleXfs>
  <cellXfs count="420">
    <xf numFmtId="0" fontId="0" fillId="0" borderId="0" xfId="0"/>
    <xf numFmtId="0" fontId="2" fillId="0" borderId="0" xfId="0" applyFont="1" applyAlignment="1">
      <alignment horizontal="left"/>
    </xf>
    <xf numFmtId="0" fontId="5" fillId="0" borderId="0" xfId="0" applyFont="1"/>
    <xf numFmtId="2" fontId="6" fillId="0" borderId="0" xfId="0" applyNumberFormat="1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quotePrefix="1" applyFont="1"/>
    <xf numFmtId="2" fontId="7" fillId="0" borderId="0" xfId="0" applyNumberFormat="1" applyFont="1"/>
    <xf numFmtId="2" fontId="6" fillId="0" borderId="3" xfId="0" applyNumberFormat="1" applyFont="1" applyBorder="1"/>
    <xf numFmtId="2" fontId="6" fillId="0" borderId="4" xfId="0" applyNumberFormat="1" applyFont="1" applyBorder="1"/>
    <xf numFmtId="0" fontId="8" fillId="0" borderId="0" xfId="0" applyFont="1"/>
    <xf numFmtId="0" fontId="9" fillId="0" borderId="0" xfId="0" applyFont="1"/>
    <xf numFmtId="2" fontId="8" fillId="0" borderId="0" xfId="0" applyNumberFormat="1" applyFont="1"/>
    <xf numFmtId="0" fontId="0" fillId="0" borderId="0" xfId="0" applyAlignment="1">
      <alignment vertical="top" wrapText="1"/>
    </xf>
    <xf numFmtId="0" fontId="33" fillId="0" borderId="0" xfId="0" applyFont="1"/>
    <xf numFmtId="0" fontId="34" fillId="0" borderId="0" xfId="0" applyFont="1"/>
    <xf numFmtId="15" fontId="34" fillId="0" borderId="0" xfId="0" applyNumberFormat="1" applyFont="1"/>
    <xf numFmtId="15" fontId="31" fillId="0" borderId="0" xfId="0" applyNumberFormat="1" applyFont="1"/>
    <xf numFmtId="0" fontId="35" fillId="0" borderId="0" xfId="0" applyFont="1"/>
    <xf numFmtId="0" fontId="36" fillId="0" borderId="0" xfId="0" applyFont="1" applyAlignment="1">
      <alignment horizontal="center"/>
    </xf>
    <xf numFmtId="0" fontId="31" fillId="0" borderId="0" xfId="0" applyFont="1"/>
    <xf numFmtId="0" fontId="31" fillId="0" borderId="5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/>
    <xf numFmtId="14" fontId="31" fillId="0" borderId="7" xfId="0" applyNumberFormat="1" applyFont="1" applyBorder="1"/>
    <xf numFmtId="0" fontId="31" fillId="0" borderId="9" xfId="0" applyFont="1" applyBorder="1"/>
    <xf numFmtId="0" fontId="31" fillId="0" borderId="10" xfId="0" applyFont="1" applyBorder="1"/>
    <xf numFmtId="0" fontId="31" fillId="0" borderId="11" xfId="0" applyFont="1" applyBorder="1" applyAlignment="1">
      <alignment horizontal="center"/>
    </xf>
    <xf numFmtId="0" fontId="31" fillId="0" borderId="7" xfId="0" applyFont="1" applyBorder="1" applyAlignment="1">
      <alignment horizontal="center"/>
    </xf>
    <xf numFmtId="0" fontId="40" fillId="0" borderId="12" xfId="0" applyFont="1" applyBorder="1" applyAlignment="1">
      <alignment horizontal="center"/>
    </xf>
    <xf numFmtId="0" fontId="0" fillId="0" borderId="12" xfId="0" applyBorder="1"/>
    <xf numFmtId="15" fontId="31" fillId="0" borderId="13" xfId="0" applyNumberFormat="1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1" fillId="0" borderId="7" xfId="0" applyFont="1" applyBorder="1" applyAlignment="1">
      <alignment horizontal="center"/>
    </xf>
    <xf numFmtId="17" fontId="40" fillId="0" borderId="12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42" fillId="0" borderId="0" xfId="0" applyFont="1"/>
    <xf numFmtId="0" fontId="43" fillId="0" borderId="14" xfId="0" applyFont="1" applyBorder="1" applyAlignment="1">
      <alignment horizontal="center"/>
    </xf>
    <xf numFmtId="0" fontId="43" fillId="0" borderId="0" xfId="0" applyFont="1"/>
    <xf numFmtId="0" fontId="44" fillId="0" borderId="0" xfId="0" applyFont="1"/>
    <xf numFmtId="0" fontId="43" fillId="0" borderId="1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40" fillId="0" borderId="0" xfId="0" applyFont="1"/>
    <xf numFmtId="0" fontId="46" fillId="0" borderId="15" xfId="0" applyFont="1" applyBorder="1" applyAlignment="1">
      <alignment horizontal="center"/>
    </xf>
    <xf numFmtId="0" fontId="47" fillId="0" borderId="0" xfId="0" applyFont="1"/>
    <xf numFmtId="0" fontId="48" fillId="0" borderId="0" xfId="0" applyFont="1" applyAlignment="1">
      <alignment horizontal="right"/>
    </xf>
    <xf numFmtId="168" fontId="48" fillId="0" borderId="0" xfId="0" applyNumberFormat="1" applyFont="1" applyAlignment="1">
      <alignment horizontal="left"/>
    </xf>
    <xf numFmtId="168" fontId="0" fillId="0" borderId="0" xfId="0" applyNumberFormat="1"/>
    <xf numFmtId="0" fontId="31" fillId="0" borderId="12" xfId="0" applyFont="1" applyBorder="1"/>
    <xf numFmtId="0" fontId="49" fillId="0" borderId="0" xfId="0" applyFont="1" applyAlignment="1">
      <alignment horizontal="center"/>
    </xf>
    <xf numFmtId="0" fontId="49" fillId="0" borderId="0" xfId="0" applyFont="1"/>
    <xf numFmtId="0" fontId="31" fillId="0" borderId="12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31" fillId="0" borderId="19" xfId="0" applyFont="1" applyBorder="1" applyAlignment="1">
      <alignment horizontal="center"/>
    </xf>
    <xf numFmtId="0" fontId="31" fillId="0" borderId="20" xfId="0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vertical="center"/>
    </xf>
    <xf numFmtId="0" fontId="47" fillId="0" borderId="14" xfId="0" applyFont="1" applyBorder="1" applyAlignment="1">
      <alignment horizontal="center"/>
    </xf>
    <xf numFmtId="0" fontId="32" fillId="0" borderId="2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47" fillId="0" borderId="15" xfId="0" applyFont="1" applyBorder="1" applyAlignment="1">
      <alignment horizontal="center"/>
    </xf>
    <xf numFmtId="0" fontId="32" fillId="0" borderId="12" xfId="0" applyFont="1" applyBorder="1" applyAlignment="1">
      <alignment horizontal="center"/>
    </xf>
    <xf numFmtId="0" fontId="50" fillId="0" borderId="15" xfId="0" applyFont="1" applyBorder="1" applyAlignment="1">
      <alignment horizontal="center"/>
    </xf>
    <xf numFmtId="0" fontId="46" fillId="0" borderId="0" xfId="0" applyFont="1" applyAlignment="1">
      <alignment horizontal="center"/>
    </xf>
    <xf numFmtId="0" fontId="51" fillId="0" borderId="15" xfId="0" applyFont="1" applyBorder="1" applyAlignment="1">
      <alignment horizontal="center"/>
    </xf>
    <xf numFmtId="0" fontId="52" fillId="0" borderId="23" xfId="0" applyFont="1" applyBorder="1" applyAlignment="1">
      <alignment horizontal="center"/>
    </xf>
    <xf numFmtId="0" fontId="31" fillId="0" borderId="24" xfId="0" applyFont="1" applyBorder="1" applyAlignment="1">
      <alignment horizontal="center"/>
    </xf>
    <xf numFmtId="0" fontId="31" fillId="0" borderId="23" xfId="0" applyFont="1" applyBorder="1" applyAlignment="1">
      <alignment horizont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0" fontId="31" fillId="0" borderId="26" xfId="0" applyFont="1" applyBorder="1" applyAlignment="1">
      <alignment horizontal="center"/>
    </xf>
    <xf numFmtId="0" fontId="53" fillId="0" borderId="0" xfId="0" applyFont="1" applyAlignment="1">
      <alignment horizontal="center"/>
    </xf>
    <xf numFmtId="9" fontId="31" fillId="0" borderId="0" xfId="0" applyNumberFormat="1" applyFont="1"/>
    <xf numFmtId="0" fontId="37" fillId="0" borderId="0" xfId="0" applyFont="1"/>
    <xf numFmtId="164" fontId="53" fillId="0" borderId="0" xfId="0" applyNumberFormat="1" applyFont="1"/>
    <xf numFmtId="0" fontId="54" fillId="0" borderId="0" xfId="0" applyFont="1"/>
    <xf numFmtId="0" fontId="54" fillId="0" borderId="0" xfId="0" applyFont="1" applyAlignment="1">
      <alignment horizontal="center" vertical="center"/>
    </xf>
    <xf numFmtId="0" fontId="4" fillId="0" borderId="0" xfId="2" applyFont="1"/>
    <xf numFmtId="0" fontId="3" fillId="0" borderId="0" xfId="2" applyAlignment="1">
      <alignment horizontal="center"/>
    </xf>
    <xf numFmtId="0" fontId="18" fillId="0" borderId="0" xfId="2" applyFont="1" applyAlignment="1">
      <alignment horizontal="center"/>
    </xf>
    <xf numFmtId="0" fontId="3" fillId="0" borderId="0" xfId="2"/>
    <xf numFmtId="0" fontId="21" fillId="0" borderId="0" xfId="2" applyFont="1" applyAlignment="1">
      <alignment horizontal="center"/>
    </xf>
    <xf numFmtId="0" fontId="21" fillId="0" borderId="0" xfId="2" applyFont="1"/>
    <xf numFmtId="0" fontId="18" fillId="0" borderId="0" xfId="2" applyFont="1"/>
    <xf numFmtId="0" fontId="20" fillId="0" borderId="0" xfId="2" applyFont="1"/>
    <xf numFmtId="0" fontId="22" fillId="0" borderId="0" xfId="2" applyFont="1"/>
    <xf numFmtId="0" fontId="4" fillId="3" borderId="0" xfId="2" applyFont="1" applyFill="1"/>
    <xf numFmtId="0" fontId="3" fillId="3" borderId="0" xfId="2" applyFill="1"/>
    <xf numFmtId="0" fontId="4" fillId="4" borderId="0" xfId="2" applyFont="1" applyFill="1"/>
    <xf numFmtId="4" fontId="18" fillId="0" borderId="0" xfId="2" applyNumberFormat="1" applyFont="1" applyAlignment="1">
      <alignment horizontal="center"/>
    </xf>
    <xf numFmtId="0" fontId="23" fillId="0" borderId="0" xfId="2" applyFont="1"/>
    <xf numFmtId="0" fontId="19" fillId="0" borderId="0" xfId="2" applyFont="1"/>
    <xf numFmtId="4" fontId="20" fillId="0" borderId="0" xfId="2" applyNumberFormat="1" applyFont="1" applyAlignment="1">
      <alignment horizontal="center"/>
    </xf>
    <xf numFmtId="0" fontId="57" fillId="0" borderId="0" xfId="2" applyFont="1"/>
    <xf numFmtId="0" fontId="59" fillId="0" borderId="0" xfId="2" applyFont="1" applyAlignment="1">
      <alignment horizontal="center"/>
    </xf>
    <xf numFmtId="0" fontId="24" fillId="0" borderId="0" xfId="0" applyFont="1" applyAlignment="1">
      <alignment horizontal="left"/>
    </xf>
    <xf numFmtId="0" fontId="24" fillId="0" borderId="0" xfId="0" applyFont="1"/>
    <xf numFmtId="167" fontId="25" fillId="0" borderId="0" xfId="0" applyNumberFormat="1" applyFont="1"/>
    <xf numFmtId="2" fontId="25" fillId="0" borderId="0" xfId="0" applyNumberFormat="1" applyFont="1"/>
    <xf numFmtId="0" fontId="25" fillId="0" borderId="0" xfId="0" applyFont="1" applyAlignment="1">
      <alignment horizontal="left"/>
    </xf>
    <xf numFmtId="0" fontId="25" fillId="0" borderId="0" xfId="0" applyFont="1"/>
    <xf numFmtId="0" fontId="25" fillId="0" borderId="0" xfId="0" quotePrefix="1" applyFont="1"/>
    <xf numFmtId="0" fontId="24" fillId="0" borderId="3" xfId="0" applyFont="1" applyBorder="1" applyAlignment="1">
      <alignment horizontal="left"/>
    </xf>
    <xf numFmtId="0" fontId="24" fillId="0" borderId="3" xfId="0" applyFont="1" applyBorder="1"/>
    <xf numFmtId="167" fontId="25" fillId="0" borderId="3" xfId="0" applyNumberFormat="1" applyFont="1" applyBorder="1"/>
    <xf numFmtId="0" fontId="3" fillId="0" borderId="29" xfId="0" applyFont="1" applyBorder="1"/>
    <xf numFmtId="0" fontId="1" fillId="0" borderId="26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2" fontId="1" fillId="0" borderId="30" xfId="0" applyNumberFormat="1" applyFont="1" applyBorder="1" applyAlignment="1">
      <alignment horizontal="center" vertical="top" wrapText="1"/>
    </xf>
    <xf numFmtId="0" fontId="60" fillId="0" borderId="30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2" fontId="3" fillId="0" borderId="29" xfId="0" applyNumberFormat="1" applyFont="1" applyBorder="1"/>
    <xf numFmtId="16" fontId="3" fillId="0" borderId="27" xfId="0" applyNumberFormat="1" applyFont="1" applyBorder="1" applyAlignment="1">
      <alignment horizontal="left"/>
    </xf>
    <xf numFmtId="0" fontId="3" fillId="0" borderId="29" xfId="0" applyFont="1" applyBorder="1" applyAlignment="1">
      <alignment horizontal="right"/>
    </xf>
    <xf numFmtId="2" fontId="3" fillId="0" borderId="28" xfId="0" applyNumberFormat="1" applyFont="1" applyBorder="1"/>
    <xf numFmtId="2" fontId="3" fillId="0" borderId="29" xfId="0" applyNumberFormat="1" applyFont="1" applyBorder="1" applyAlignment="1">
      <alignment horizontal="right"/>
    </xf>
    <xf numFmtId="0" fontId="61" fillId="0" borderId="0" xfId="0" applyFont="1" applyAlignment="1">
      <alignment horizontal="center"/>
    </xf>
    <xf numFmtId="167" fontId="25" fillId="0" borderId="0" xfId="0" applyNumberFormat="1" applyFont="1" applyAlignment="1">
      <alignment horizontal="right"/>
    </xf>
    <xf numFmtId="0" fontId="24" fillId="0" borderId="0" xfId="0" applyFont="1" applyAlignment="1">
      <alignment horizontal="center"/>
    </xf>
    <xf numFmtId="166" fontId="0" fillId="0" borderId="0" xfId="0" applyNumberFormat="1"/>
    <xf numFmtId="2" fontId="0" fillId="0" borderId="0" xfId="0" applyNumberFormat="1"/>
    <xf numFmtId="14" fontId="25" fillId="0" borderId="0" xfId="0" applyNumberFormat="1" applyFont="1"/>
    <xf numFmtId="16" fontId="3" fillId="0" borderId="29" xfId="0" applyNumberFormat="1" applyFont="1" applyBorder="1" applyAlignment="1">
      <alignment horizontal="left"/>
    </xf>
    <xf numFmtId="0" fontId="4" fillId="0" borderId="29" xfId="0" applyFont="1" applyBorder="1"/>
    <xf numFmtId="2" fontId="4" fillId="0" borderId="29" xfId="0" applyNumberFormat="1" applyFont="1" applyBorder="1"/>
    <xf numFmtId="1" fontId="3" fillId="0" borderId="29" xfId="0" applyNumberFormat="1" applyFont="1" applyBorder="1" applyAlignment="1">
      <alignment horizontal="right"/>
    </xf>
    <xf numFmtId="16" fontId="3" fillId="0" borderId="26" xfId="0" applyNumberFormat="1" applyFont="1" applyBorder="1" applyAlignment="1">
      <alignment horizontal="left"/>
    </xf>
    <xf numFmtId="0" fontId="3" fillId="0" borderId="30" xfId="0" applyFont="1" applyBorder="1"/>
    <xf numFmtId="2" fontId="3" fillId="0" borderId="30" xfId="0" applyNumberFormat="1" applyFont="1" applyBorder="1"/>
    <xf numFmtId="1" fontId="3" fillId="0" borderId="30" xfId="0" applyNumberFormat="1" applyFont="1" applyBorder="1" applyAlignment="1">
      <alignment horizontal="right"/>
    </xf>
    <xf numFmtId="2" fontId="3" fillId="0" borderId="30" xfId="0" applyNumberFormat="1" applyFont="1" applyBorder="1" applyAlignment="1">
      <alignment horizontal="right"/>
    </xf>
    <xf numFmtId="2" fontId="3" fillId="0" borderId="31" xfId="0" applyNumberFormat="1" applyFont="1" applyBorder="1" applyAlignment="1">
      <alignment horizontal="right"/>
    </xf>
    <xf numFmtId="0" fontId="31" fillId="3" borderId="17" xfId="0" applyFont="1" applyFill="1" applyBorder="1" applyAlignment="1">
      <alignment horizontal="center" vertical="center"/>
    </xf>
    <xf numFmtId="0" fontId="31" fillId="3" borderId="12" xfId="0" applyFont="1" applyFill="1" applyBorder="1" applyAlignment="1">
      <alignment horizontal="center" vertical="center"/>
    </xf>
    <xf numFmtId="0" fontId="31" fillId="3" borderId="12" xfId="0" applyFont="1" applyFill="1" applyBorder="1" applyAlignment="1">
      <alignment horizontal="center"/>
    </xf>
    <xf numFmtId="168" fontId="41" fillId="2" borderId="8" xfId="0" applyNumberFormat="1" applyFont="1" applyFill="1" applyBorder="1"/>
    <xf numFmtId="168" fontId="41" fillId="2" borderId="34" xfId="0" applyNumberFormat="1" applyFont="1" applyFill="1" applyBorder="1"/>
    <xf numFmtId="0" fontId="31" fillId="3" borderId="21" xfId="0" applyFont="1" applyFill="1" applyBorder="1" applyAlignment="1">
      <alignment horizontal="center"/>
    </xf>
    <xf numFmtId="0" fontId="31" fillId="3" borderId="19" xfId="0" applyFont="1" applyFill="1" applyBorder="1" applyAlignment="1">
      <alignment horizontal="center"/>
    </xf>
    <xf numFmtId="0" fontId="0" fillId="2" borderId="8" xfId="0" applyFill="1" applyBorder="1"/>
    <xf numFmtId="0" fontId="48" fillId="2" borderId="7" xfId="0" applyFont="1" applyFill="1" applyBorder="1"/>
    <xf numFmtId="0" fontId="0" fillId="2" borderId="12" xfId="0" applyFill="1" applyBorder="1"/>
    <xf numFmtId="0" fontId="62" fillId="2" borderId="12" xfId="0" applyFont="1" applyFill="1" applyBorder="1"/>
    <xf numFmtId="0" fontId="63" fillId="0" borderId="0" xfId="0" applyFont="1" applyAlignment="1">
      <alignment horizontal="center"/>
    </xf>
    <xf numFmtId="0" fontId="31" fillId="5" borderId="21" xfId="0" applyFont="1" applyFill="1" applyBorder="1" applyAlignment="1">
      <alignment horizontal="center"/>
    </xf>
    <xf numFmtId="0" fontId="36" fillId="5" borderId="12" xfId="0" applyFont="1" applyFill="1" applyBorder="1" applyAlignment="1">
      <alignment horizontal="center"/>
    </xf>
    <xf numFmtId="17" fontId="36" fillId="5" borderId="12" xfId="0" applyNumberFormat="1" applyFont="1" applyFill="1" applyBorder="1" applyAlignment="1">
      <alignment horizontal="center"/>
    </xf>
    <xf numFmtId="0" fontId="0" fillId="5" borderId="12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31" fillId="5" borderId="23" xfId="0" applyFont="1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31" fillId="5" borderId="19" xfId="0" applyFont="1" applyFill="1" applyBorder="1" applyAlignment="1">
      <alignment horizontal="center"/>
    </xf>
    <xf numFmtId="0" fontId="31" fillId="0" borderId="33" xfId="0" applyFont="1" applyBorder="1" applyAlignment="1">
      <alignment horizontal="center"/>
    </xf>
    <xf numFmtId="15" fontId="31" fillId="0" borderId="37" xfId="0" applyNumberFormat="1" applyFont="1" applyBorder="1" applyAlignment="1">
      <alignment horizontal="center"/>
    </xf>
    <xf numFmtId="0" fontId="0" fillId="0" borderId="37" xfId="0" applyBorder="1"/>
    <xf numFmtId="0" fontId="0" fillId="0" borderId="37" xfId="0" applyBorder="1" applyAlignment="1">
      <alignment horizontal="center"/>
    </xf>
    <xf numFmtId="0" fontId="0" fillId="0" borderId="35" xfId="0" applyBorder="1" applyAlignment="1">
      <alignment horizontal="center"/>
    </xf>
    <xf numFmtId="0" fontId="31" fillId="0" borderId="38" xfId="0" applyFont="1" applyBorder="1" applyAlignment="1">
      <alignment horizontal="center"/>
    </xf>
    <xf numFmtId="0" fontId="31" fillId="6" borderId="12" xfId="0" applyFont="1" applyFill="1" applyBorder="1" applyAlignment="1">
      <alignment horizontal="center" vertical="center"/>
    </xf>
    <xf numFmtId="0" fontId="31" fillId="6" borderId="33" xfId="0" applyFont="1" applyFill="1" applyBorder="1" applyAlignment="1">
      <alignment horizontal="center"/>
    </xf>
    <xf numFmtId="0" fontId="31" fillId="6" borderId="37" xfId="0" applyFont="1" applyFill="1" applyBorder="1" applyAlignment="1">
      <alignment horizontal="center"/>
    </xf>
    <xf numFmtId="0" fontId="31" fillId="6" borderId="37" xfId="0" applyFont="1" applyFill="1" applyBorder="1"/>
    <xf numFmtId="0" fontId="31" fillId="6" borderId="37" xfId="0" applyFont="1" applyFill="1" applyBorder="1" applyAlignment="1">
      <alignment horizontal="center" vertical="center"/>
    </xf>
    <xf numFmtId="0" fontId="31" fillId="6" borderId="39" xfId="0" applyFont="1" applyFill="1" applyBorder="1" applyAlignment="1">
      <alignment horizontal="center" vertical="center"/>
    </xf>
    <xf numFmtId="15" fontId="31" fillId="3" borderId="12" xfId="0" applyNumberFormat="1" applyFont="1" applyFill="1" applyBorder="1" applyAlignment="1">
      <alignment horizontal="center"/>
    </xf>
    <xf numFmtId="1" fontId="31" fillId="3" borderId="12" xfId="0" applyNumberFormat="1" applyFont="1" applyFill="1" applyBorder="1" applyAlignment="1">
      <alignment horizontal="center"/>
    </xf>
    <xf numFmtId="1" fontId="31" fillId="3" borderId="12" xfId="0" applyNumberFormat="1" applyFont="1" applyFill="1" applyBorder="1" applyAlignment="1">
      <alignment horizontal="center" vertical="center"/>
    </xf>
    <xf numFmtId="0" fontId="31" fillId="3" borderId="40" xfId="0" applyFont="1" applyFill="1" applyBorder="1" applyAlignment="1">
      <alignment horizontal="center"/>
    </xf>
    <xf numFmtId="15" fontId="31" fillId="3" borderId="40" xfId="0" applyNumberFormat="1" applyFont="1" applyFill="1" applyBorder="1" applyAlignment="1">
      <alignment horizontal="center"/>
    </xf>
    <xf numFmtId="0" fontId="31" fillId="3" borderId="40" xfId="0" applyFont="1" applyFill="1" applyBorder="1" applyAlignment="1">
      <alignment horizontal="center" vertical="center"/>
    </xf>
    <xf numFmtId="0" fontId="31" fillId="3" borderId="41" xfId="0" applyFont="1" applyFill="1" applyBorder="1" applyAlignment="1">
      <alignment horizontal="center" vertical="center"/>
    </xf>
    <xf numFmtId="0" fontId="31" fillId="3" borderId="42" xfId="0" applyFont="1" applyFill="1" applyBorder="1" applyAlignment="1">
      <alignment horizontal="center"/>
    </xf>
    <xf numFmtId="0" fontId="31" fillId="0" borderId="43" xfId="0" applyFont="1" applyBorder="1" applyAlignment="1">
      <alignment horizontal="center"/>
    </xf>
    <xf numFmtId="0" fontId="31" fillId="6" borderId="35" xfId="0" applyFont="1" applyFill="1" applyBorder="1" applyAlignment="1">
      <alignment horizontal="center" vertical="center"/>
    </xf>
    <xf numFmtId="0" fontId="31" fillId="6" borderId="20" xfId="0" applyFont="1" applyFill="1" applyBorder="1" applyAlignment="1">
      <alignment horizontal="center" vertical="center"/>
    </xf>
    <xf numFmtId="0" fontId="31" fillId="3" borderId="26" xfId="0" applyFont="1" applyFill="1" applyBorder="1" applyAlignment="1">
      <alignment horizontal="center" vertical="center"/>
    </xf>
    <xf numFmtId="0" fontId="31" fillId="0" borderId="44" xfId="0" applyFont="1" applyBorder="1" applyAlignment="1">
      <alignment horizontal="center"/>
    </xf>
    <xf numFmtId="15" fontId="31" fillId="0" borderId="45" xfId="0" applyNumberFormat="1" applyFont="1" applyBorder="1" applyAlignment="1">
      <alignment horizontal="center"/>
    </xf>
    <xf numFmtId="0" fontId="31" fillId="0" borderId="45" xfId="0" applyFont="1" applyBorder="1"/>
    <xf numFmtId="0" fontId="31" fillId="0" borderId="45" xfId="0" applyFont="1" applyBorder="1" applyAlignment="1">
      <alignment horizontal="center" vertical="center"/>
    </xf>
    <xf numFmtId="1" fontId="31" fillId="3" borderId="30" xfId="0" applyNumberFormat="1" applyFont="1" applyFill="1" applyBorder="1" applyAlignment="1">
      <alignment horizontal="center" vertical="center"/>
    </xf>
    <xf numFmtId="14" fontId="37" fillId="0" borderId="0" xfId="0" applyNumberFormat="1" applyFont="1"/>
    <xf numFmtId="2" fontId="4" fillId="0" borderId="0" xfId="0" applyNumberFormat="1" applyFont="1" applyAlignment="1">
      <alignment horizontal="left"/>
    </xf>
    <xf numFmtId="0" fontId="4" fillId="0" borderId="0" xfId="0" applyFont="1"/>
    <xf numFmtId="2" fontId="4" fillId="0" borderId="0" xfId="0" applyNumberFormat="1" applyFont="1"/>
    <xf numFmtId="2" fontId="4" fillId="0" borderId="12" xfId="0" applyNumberFormat="1" applyFont="1" applyBorder="1" applyAlignment="1">
      <alignment horizontal="left"/>
    </xf>
    <xf numFmtId="0" fontId="4" fillId="0" borderId="12" xfId="0" applyFont="1" applyBorder="1"/>
    <xf numFmtId="2" fontId="4" fillId="0" borderId="12" xfId="0" applyNumberFormat="1" applyFont="1" applyBorder="1"/>
    <xf numFmtId="16" fontId="3" fillId="0" borderId="12" xfId="0" applyNumberFormat="1" applyFont="1" applyBorder="1" applyAlignment="1">
      <alignment horizontal="left"/>
    </xf>
    <xf numFmtId="0" fontId="64" fillId="0" borderId="0" xfId="0" applyFont="1"/>
    <xf numFmtId="0" fontId="6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4" fillId="0" borderId="0" xfId="0" applyFont="1" applyAlignment="1">
      <alignment wrapText="1"/>
    </xf>
    <xf numFmtId="165" fontId="6" fillId="0" borderId="0" xfId="1" applyFont="1"/>
    <xf numFmtId="165" fontId="29" fillId="0" borderId="0" xfId="1" applyFont="1"/>
    <xf numFmtId="165" fontId="64" fillId="0" borderId="0" xfId="1" applyFont="1"/>
    <xf numFmtId="165" fontId="6" fillId="0" borderId="0" xfId="1" applyFont="1" applyAlignment="1">
      <alignment horizontal="center"/>
    </xf>
    <xf numFmtId="165" fontId="6" fillId="0" borderId="0" xfId="1" applyFont="1" applyBorder="1"/>
    <xf numFmtId="165" fontId="5" fillId="0" borderId="0" xfId="1" applyFont="1"/>
    <xf numFmtId="165" fontId="6" fillId="0" borderId="0" xfId="1" applyFont="1" applyAlignment="1">
      <alignment horizontal="right"/>
    </xf>
    <xf numFmtId="0" fontId="64" fillId="0" borderId="4" xfId="0" applyFont="1" applyBorder="1"/>
    <xf numFmtId="0" fontId="6" fillId="0" borderId="4" xfId="0" applyFont="1" applyBorder="1"/>
    <xf numFmtId="0" fontId="5" fillId="0" borderId="4" xfId="0" applyFont="1" applyBorder="1"/>
    <xf numFmtId="0" fontId="0" fillId="0" borderId="4" xfId="0" applyBorder="1"/>
    <xf numFmtId="0" fontId="9" fillId="0" borderId="4" xfId="0" applyFont="1" applyBorder="1"/>
    <xf numFmtId="0" fontId="10" fillId="0" borderId="4" xfId="0" applyFont="1" applyBorder="1"/>
    <xf numFmtId="165" fontId="6" fillId="0" borderId="4" xfId="1" applyFont="1" applyBorder="1"/>
    <xf numFmtId="0" fontId="6" fillId="0" borderId="43" xfId="0" applyFont="1" applyBorder="1"/>
    <xf numFmtId="0" fontId="64" fillId="0" borderId="43" xfId="0" applyFont="1" applyBorder="1"/>
    <xf numFmtId="165" fontId="64" fillId="0" borderId="43" xfId="1" applyFont="1" applyBorder="1"/>
    <xf numFmtId="0" fontId="9" fillId="0" borderId="43" xfId="0" applyFont="1" applyBorder="1"/>
    <xf numFmtId="165" fontId="5" fillId="0" borderId="0" xfId="1" applyFont="1" applyAlignment="1">
      <alignment horizontal="right"/>
    </xf>
    <xf numFmtId="165" fontId="5" fillId="0" borderId="0" xfId="1" applyFont="1" applyBorder="1"/>
    <xf numFmtId="165" fontId="5" fillId="0" borderId="43" xfId="1" applyFont="1" applyBorder="1"/>
    <xf numFmtId="165" fontId="65" fillId="0" borderId="43" xfId="1" applyFont="1" applyBorder="1"/>
    <xf numFmtId="0" fontId="10" fillId="0" borderId="0" xfId="0" applyFont="1"/>
    <xf numFmtId="0" fontId="8" fillId="0" borderId="4" xfId="0" applyFont="1" applyBorder="1"/>
    <xf numFmtId="0" fontId="66" fillId="0" borderId="0" xfId="0" applyFont="1"/>
    <xf numFmtId="0" fontId="58" fillId="0" borderId="0" xfId="0" applyFont="1"/>
    <xf numFmtId="0" fontId="65" fillId="0" borderId="4" xfId="0" applyFont="1" applyBorder="1"/>
    <xf numFmtId="165" fontId="64" fillId="0" borderId="0" xfId="0" applyNumberFormat="1" applyFont="1" applyAlignment="1">
      <alignment horizontal="right"/>
    </xf>
    <xf numFmtId="0" fontId="11" fillId="0" borderId="0" xfId="0" applyFont="1"/>
    <xf numFmtId="0" fontId="56" fillId="0" borderId="29" xfId="0" applyFont="1" applyBorder="1"/>
    <xf numFmtId="2" fontId="56" fillId="0" borderId="29" xfId="0" applyNumberFormat="1" applyFont="1" applyBorder="1"/>
    <xf numFmtId="165" fontId="6" fillId="0" borderId="0" xfId="1" applyFont="1" applyFill="1"/>
    <xf numFmtId="165" fontId="6" fillId="3" borderId="0" xfId="1" applyFont="1" applyFill="1"/>
    <xf numFmtId="43" fontId="0" fillId="0" borderId="0" xfId="0" applyNumberFormat="1"/>
    <xf numFmtId="0" fontId="67" fillId="0" borderId="0" xfId="0" applyFont="1" applyAlignment="1">
      <alignment horizontal="center"/>
    </xf>
    <xf numFmtId="2" fontId="59" fillId="0" borderId="0" xfId="2" applyNumberFormat="1" applyFont="1" applyAlignment="1">
      <alignment horizontal="center"/>
    </xf>
    <xf numFmtId="2" fontId="20" fillId="7" borderId="0" xfId="2" applyNumberFormat="1" applyFont="1" applyFill="1" applyAlignment="1">
      <alignment horizontal="center"/>
    </xf>
    <xf numFmtId="14" fontId="0" fillId="0" borderId="0" xfId="0" applyNumberFormat="1"/>
    <xf numFmtId="2" fontId="20" fillId="2" borderId="0" xfId="2" applyNumberFormat="1" applyFont="1" applyFill="1" applyAlignment="1">
      <alignment horizontal="center"/>
    </xf>
    <xf numFmtId="1" fontId="31" fillId="0" borderId="45" xfId="0" applyNumberFormat="1" applyFont="1" applyBorder="1" applyAlignment="1">
      <alignment horizontal="center"/>
    </xf>
    <xf numFmtId="1" fontId="31" fillId="0" borderId="45" xfId="0" applyNumberFormat="1" applyFont="1" applyBorder="1" applyAlignment="1">
      <alignment horizontal="center" vertical="center"/>
    </xf>
    <xf numFmtId="1" fontId="31" fillId="3" borderId="24" xfId="0" applyNumberFormat="1" applyFont="1" applyFill="1" applyBorder="1" applyAlignment="1">
      <alignment horizontal="center" vertical="center"/>
    </xf>
    <xf numFmtId="1" fontId="36" fillId="0" borderId="0" xfId="0" applyNumberFormat="1" applyFont="1" applyAlignment="1">
      <alignment horizontal="center"/>
    </xf>
    <xf numFmtId="1" fontId="31" fillId="0" borderId="0" xfId="0" applyNumberFormat="1" applyFont="1"/>
    <xf numFmtId="1" fontId="31" fillId="0" borderId="19" xfId="0" applyNumberFormat="1" applyFont="1" applyBorder="1" applyAlignment="1">
      <alignment horizontal="center"/>
    </xf>
    <xf numFmtId="2" fontId="18" fillId="0" borderId="0" xfId="2" applyNumberFormat="1" applyFont="1"/>
    <xf numFmtId="169" fontId="54" fillId="0" borderId="0" xfId="3" applyNumberFormat="1" applyFont="1" applyAlignment="1">
      <alignment horizontal="center" vertical="center"/>
    </xf>
    <xf numFmtId="10" fontId="54" fillId="0" borderId="0" xfId="3" applyNumberFormat="1" applyFont="1" applyAlignment="1">
      <alignment horizontal="center" vertical="center"/>
    </xf>
    <xf numFmtId="165" fontId="6" fillId="0" borderId="0" xfId="0" applyNumberFormat="1" applyFont="1"/>
    <xf numFmtId="43" fontId="64" fillId="0" borderId="0" xfId="0" applyNumberFormat="1" applyFont="1"/>
    <xf numFmtId="4" fontId="64" fillId="0" borderId="0" xfId="0" applyNumberFormat="1" applyFont="1"/>
    <xf numFmtId="2" fontId="56" fillId="0" borderId="0" xfId="2" applyNumberFormat="1" applyFont="1" applyAlignment="1">
      <alignment horizontal="center"/>
    </xf>
    <xf numFmtId="0" fontId="56" fillId="0" borderId="0" xfId="2" applyFont="1" applyAlignment="1">
      <alignment horizontal="center"/>
    </xf>
    <xf numFmtId="0" fontId="56" fillId="0" borderId="0" xfId="2" applyFont="1"/>
    <xf numFmtId="1" fontId="31" fillId="3" borderId="20" xfId="0" applyNumberFormat="1" applyFont="1" applyFill="1" applyBorder="1" applyAlignment="1">
      <alignment horizontal="center" vertical="center"/>
    </xf>
    <xf numFmtId="0" fontId="31" fillId="0" borderId="37" xfId="0" applyFont="1" applyBorder="1" applyAlignment="1">
      <alignment horizontal="center"/>
    </xf>
    <xf numFmtId="1" fontId="31" fillId="0" borderId="37" xfId="0" applyNumberFormat="1" applyFont="1" applyBorder="1" applyAlignment="1">
      <alignment horizontal="center"/>
    </xf>
    <xf numFmtId="1" fontId="31" fillId="0" borderId="37" xfId="0" applyNumberFormat="1" applyFont="1" applyBorder="1" applyAlignment="1">
      <alignment horizontal="center" vertical="center"/>
    </xf>
    <xf numFmtId="0" fontId="31" fillId="3" borderId="22" xfId="0" applyFont="1" applyFill="1" applyBorder="1" applyAlignment="1">
      <alignment horizontal="center"/>
    </xf>
    <xf numFmtId="0" fontId="36" fillId="0" borderId="0" xfId="0" applyFont="1" applyAlignment="1">
      <alignment horizontal="left"/>
    </xf>
    <xf numFmtId="1" fontId="52" fillId="3" borderId="12" xfId="0" applyNumberFormat="1" applyFont="1" applyFill="1" applyBorder="1" applyAlignment="1">
      <alignment horizontal="center"/>
    </xf>
    <xf numFmtId="0" fontId="48" fillId="2" borderId="0" xfId="0" applyFont="1" applyFill="1"/>
    <xf numFmtId="14" fontId="31" fillId="0" borderId="0" xfId="0" applyNumberFormat="1" applyFont="1"/>
    <xf numFmtId="0" fontId="41" fillId="0" borderId="0" xfId="0" applyFont="1" applyAlignment="1">
      <alignment horizontal="center"/>
    </xf>
    <xf numFmtId="0" fontId="41" fillId="2" borderId="46" xfId="0" applyFont="1" applyFill="1" applyBorder="1" applyAlignment="1">
      <alignment horizontal="right"/>
    </xf>
    <xf numFmtId="0" fontId="41" fillId="2" borderId="0" xfId="0" applyFont="1" applyFill="1" applyAlignment="1">
      <alignment horizontal="right"/>
    </xf>
    <xf numFmtId="166" fontId="48" fillId="2" borderId="32" xfId="0" applyNumberFormat="1" applyFont="1" applyFill="1" applyBorder="1" applyAlignment="1">
      <alignment horizontal="center"/>
    </xf>
    <xf numFmtId="0" fontId="41" fillId="2" borderId="35" xfId="0" applyFont="1" applyFill="1" applyBorder="1" applyAlignment="1">
      <alignment horizontal="left"/>
    </xf>
    <xf numFmtId="0" fontId="41" fillId="2" borderId="7" xfId="0" applyFont="1" applyFill="1" applyBorder="1" applyAlignment="1">
      <alignment horizontal="left"/>
    </xf>
    <xf numFmtId="1" fontId="70" fillId="3" borderId="12" xfId="0" applyNumberFormat="1" applyFont="1" applyFill="1" applyBorder="1" applyAlignment="1">
      <alignment horizontal="center"/>
    </xf>
    <xf numFmtId="170" fontId="25" fillId="0" borderId="0" xfId="0" applyNumberFormat="1" applyFont="1"/>
    <xf numFmtId="170" fontId="26" fillId="0" borderId="0" xfId="0" applyNumberFormat="1" applyFont="1"/>
    <xf numFmtId="170" fontId="24" fillId="0" borderId="3" xfId="0" applyNumberFormat="1" applyFont="1" applyBorder="1"/>
    <xf numFmtId="170" fontId="25" fillId="0" borderId="32" xfId="0" applyNumberFormat="1" applyFont="1" applyBorder="1"/>
    <xf numFmtId="171" fontId="31" fillId="0" borderId="8" xfId="0" applyNumberFormat="1" applyFont="1" applyBorder="1" applyAlignment="1">
      <alignment horizontal="center"/>
    </xf>
    <xf numFmtId="171" fontId="0" fillId="0" borderId="8" xfId="0" applyNumberFormat="1" applyBorder="1"/>
    <xf numFmtId="171" fontId="0" fillId="0" borderId="8" xfId="0" applyNumberFormat="1" applyBorder="1" applyAlignment="1">
      <alignment horizontal="center"/>
    </xf>
    <xf numFmtId="171" fontId="45" fillId="0" borderId="8" xfId="0" applyNumberFormat="1" applyFont="1" applyBorder="1" applyAlignment="1">
      <alignment horizontal="center"/>
    </xf>
    <xf numFmtId="171" fontId="45" fillId="0" borderId="16" xfId="0" applyNumberFormat="1" applyFont="1" applyBorder="1" applyAlignment="1">
      <alignment horizontal="center"/>
    </xf>
    <xf numFmtId="171" fontId="48" fillId="2" borderId="33" xfId="0" applyNumberFormat="1" applyFont="1" applyFill="1" applyBorder="1" applyAlignment="1">
      <alignment horizontal="right"/>
    </xf>
    <xf numFmtId="171" fontId="48" fillId="2" borderId="11" xfId="0" applyNumberFormat="1" applyFont="1" applyFill="1" applyBorder="1" applyAlignment="1">
      <alignment horizontal="left"/>
    </xf>
    <xf numFmtId="171" fontId="45" fillId="0" borderId="0" xfId="0" applyNumberFormat="1" applyFont="1" applyAlignment="1">
      <alignment horizontal="center"/>
    </xf>
    <xf numFmtId="171" fontId="55" fillId="0" borderId="0" xfId="0" applyNumberFormat="1" applyFont="1" applyAlignment="1">
      <alignment horizontal="center"/>
    </xf>
    <xf numFmtId="2" fontId="6" fillId="0" borderId="1" xfId="0" applyNumberFormat="1" applyFont="1" applyBorder="1"/>
    <xf numFmtId="17" fontId="4" fillId="0" borderId="0" xfId="2" applyNumberFormat="1" applyFont="1" applyAlignment="1">
      <alignment horizontal="right"/>
    </xf>
    <xf numFmtId="0" fontId="3" fillId="0" borderId="0" xfId="0" applyFont="1"/>
    <xf numFmtId="16" fontId="3" fillId="0" borderId="47" xfId="0" applyNumberFormat="1" applyFont="1" applyBorder="1" applyAlignment="1">
      <alignment horizontal="left"/>
    </xf>
    <xf numFmtId="16" fontId="3" fillId="0" borderId="0" xfId="0" applyNumberFormat="1" applyFont="1" applyAlignment="1">
      <alignment horizontal="left"/>
    </xf>
    <xf numFmtId="2" fontId="3" fillId="0" borderId="0" xfId="0" applyNumberFormat="1" applyFont="1"/>
    <xf numFmtId="1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2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2" fontId="4" fillId="0" borderId="2" xfId="0" applyNumberFormat="1" applyFont="1" applyBorder="1"/>
    <xf numFmtId="0" fontId="3" fillId="0" borderId="53" xfId="2" applyBorder="1"/>
    <xf numFmtId="0" fontId="3" fillId="0" borderId="54" xfId="2" applyBorder="1" applyAlignment="1">
      <alignment vertical="top"/>
    </xf>
    <xf numFmtId="0" fontId="3" fillId="0" borderId="55" xfId="2" applyBorder="1" applyAlignment="1">
      <alignment horizontal="center"/>
    </xf>
    <xf numFmtId="0" fontId="3" fillId="0" borderId="56" xfId="2" applyBorder="1" applyAlignment="1">
      <alignment horizontal="left" vertical="top"/>
    </xf>
    <xf numFmtId="0" fontId="3" fillId="0" borderId="57" xfId="2" applyBorder="1"/>
    <xf numFmtId="0" fontId="3" fillId="0" borderId="56" xfId="2" applyBorder="1"/>
    <xf numFmtId="0" fontId="3" fillId="0" borderId="55" xfId="2" applyBorder="1"/>
    <xf numFmtId="1" fontId="3" fillId="0" borderId="55" xfId="2" applyNumberFormat="1" applyBorder="1" applyAlignment="1">
      <alignment horizontal="center" vertical="center"/>
    </xf>
    <xf numFmtId="172" fontId="3" fillId="0" borderId="56" xfId="2" applyNumberFormat="1" applyBorder="1"/>
    <xf numFmtId="1" fontId="3" fillId="0" borderId="55" xfId="2" applyNumberFormat="1" applyBorder="1" applyAlignment="1">
      <alignment horizontal="center"/>
    </xf>
    <xf numFmtId="2" fontId="20" fillId="0" borderId="58" xfId="2" applyNumberFormat="1" applyFont="1" applyBorder="1" applyAlignment="1">
      <alignment horizontal="center"/>
    </xf>
    <xf numFmtId="1" fontId="15" fillId="0" borderId="55" xfId="2" applyNumberFormat="1" applyFont="1" applyBorder="1" applyAlignment="1">
      <alignment horizontal="center"/>
    </xf>
    <xf numFmtId="1" fontId="14" fillId="0" borderId="56" xfId="2" applyNumberFormat="1" applyFont="1" applyBorder="1"/>
    <xf numFmtId="1" fontId="58" fillId="0" borderId="59" xfId="2" applyNumberFormat="1" applyFont="1" applyBorder="1" applyAlignment="1">
      <alignment horizontal="center"/>
    </xf>
    <xf numFmtId="0" fontId="3" fillId="0" borderId="7" xfId="0" applyFont="1" applyBorder="1"/>
    <xf numFmtId="2" fontId="3" fillId="0" borderId="8" xfId="0" applyNumberFormat="1" applyFont="1" applyBorder="1"/>
    <xf numFmtId="170" fontId="0" fillId="0" borderId="0" xfId="0" applyNumberFormat="1"/>
    <xf numFmtId="1" fontId="4" fillId="0" borderId="19" xfId="2" applyNumberFormat="1" applyFont="1" applyBorder="1" applyAlignment="1">
      <alignment horizontal="center"/>
    </xf>
    <xf numFmtId="0" fontId="58" fillId="2" borderId="0" xfId="2" applyFont="1" applyFill="1" applyAlignment="1">
      <alignment horizontal="center"/>
    </xf>
    <xf numFmtId="0" fontId="56" fillId="0" borderId="50" xfId="2" applyFont="1" applyBorder="1" applyAlignment="1">
      <alignment horizontal="center"/>
    </xf>
    <xf numFmtId="2" fontId="58" fillId="0" borderId="50" xfId="2" applyNumberFormat="1" applyFont="1" applyBorder="1" applyAlignment="1">
      <alignment horizontal="center"/>
    </xf>
    <xf numFmtId="0" fontId="69" fillId="0" borderId="0" xfId="2" applyFont="1" applyAlignment="1">
      <alignment horizontal="center"/>
    </xf>
    <xf numFmtId="1" fontId="48" fillId="3" borderId="12" xfId="0" applyNumberFormat="1" applyFont="1" applyFill="1" applyBorder="1" applyAlignment="1">
      <alignment horizontal="center"/>
    </xf>
    <xf numFmtId="2" fontId="75" fillId="0" borderId="0" xfId="2" applyNumberFormat="1" applyFont="1" applyAlignment="1">
      <alignment horizontal="center"/>
    </xf>
    <xf numFmtId="0" fontId="75" fillId="0" borderId="0" xfId="2" applyFont="1" applyAlignment="1">
      <alignment horizontal="center"/>
    </xf>
    <xf numFmtId="0" fontId="59" fillId="0" borderId="0" xfId="2" applyFont="1"/>
    <xf numFmtId="2" fontId="59" fillId="0" borderId="0" xfId="2" applyNumberFormat="1" applyFont="1"/>
    <xf numFmtId="1" fontId="76" fillId="3" borderId="12" xfId="0" applyNumberFormat="1" applyFont="1" applyFill="1" applyBorder="1" applyAlignment="1">
      <alignment horizontal="center"/>
    </xf>
    <xf numFmtId="0" fontId="0" fillId="8" borderId="0" xfId="0" applyFill="1"/>
    <xf numFmtId="173" fontId="64" fillId="0" borderId="0" xfId="0" applyNumberFormat="1" applyFont="1" applyAlignment="1">
      <alignment horizontal="right"/>
    </xf>
    <xf numFmtId="49" fontId="4" fillId="0" borderId="26" xfId="0" applyNumberFormat="1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2" fontId="4" fillId="0" borderId="30" xfId="0" applyNumberFormat="1" applyFont="1" applyBorder="1" applyAlignment="1">
      <alignment horizontal="center" wrapText="1"/>
    </xf>
    <xf numFmtId="1" fontId="4" fillId="0" borderId="30" xfId="0" applyNumberFormat="1" applyFont="1" applyBorder="1" applyAlignment="1">
      <alignment wrapText="1"/>
    </xf>
    <xf numFmtId="2" fontId="4" fillId="0" borderId="20" xfId="0" applyNumberFormat="1" applyFont="1" applyBorder="1" applyAlignment="1">
      <alignment horizontal="center" wrapText="1"/>
    </xf>
    <xf numFmtId="2" fontId="4" fillId="0" borderId="31" xfId="0" applyNumberFormat="1" applyFont="1" applyBorder="1" applyAlignment="1">
      <alignment horizontal="center" wrapText="1"/>
    </xf>
    <xf numFmtId="1" fontId="77" fillId="0" borderId="29" xfId="0" applyNumberFormat="1" applyFont="1" applyBorder="1"/>
    <xf numFmtId="2" fontId="3" fillId="0" borderId="7" xfId="0" applyNumberFormat="1" applyFont="1" applyBorder="1"/>
    <xf numFmtId="2" fontId="66" fillId="0" borderId="0" xfId="0" applyNumberFormat="1" applyFont="1"/>
    <xf numFmtId="2" fontId="77" fillId="0" borderId="29" xfId="0" applyNumberFormat="1" applyFont="1" applyBorder="1"/>
    <xf numFmtId="2" fontId="77" fillId="0" borderId="7" xfId="0" applyNumberFormat="1" applyFont="1" applyBorder="1"/>
    <xf numFmtId="2" fontId="77" fillId="0" borderId="28" xfId="0" applyNumberFormat="1" applyFont="1" applyBorder="1"/>
    <xf numFmtId="1" fontId="3" fillId="0" borderId="29" xfId="0" applyNumberFormat="1" applyFont="1" applyBorder="1"/>
    <xf numFmtId="16" fontId="3" fillId="0" borderId="48" xfId="0" applyNumberFormat="1" applyFont="1" applyBorder="1" applyAlignment="1">
      <alignment horizontal="left"/>
    </xf>
    <xf numFmtId="16" fontId="3" fillId="0" borderId="49" xfId="0" applyNumberFormat="1" applyFont="1" applyBorder="1" applyAlignment="1">
      <alignment horizontal="left"/>
    </xf>
    <xf numFmtId="0" fontId="3" fillId="0" borderId="49" xfId="0" applyFont="1" applyBorder="1"/>
    <xf numFmtId="0" fontId="4" fillId="0" borderId="0" xfId="0" applyFont="1" applyAlignment="1">
      <alignment horizontal="left"/>
    </xf>
    <xf numFmtId="2" fontId="4" fillId="0" borderId="1" xfId="0" applyNumberFormat="1" applyFont="1" applyBorder="1"/>
    <xf numFmtId="1" fontId="4" fillId="0" borderId="1" xfId="0" applyNumberFormat="1" applyFont="1" applyBorder="1"/>
    <xf numFmtId="0" fontId="3" fillId="0" borderId="0" xfId="0" applyFont="1" applyAlignment="1">
      <alignment horizontal="left"/>
    </xf>
    <xf numFmtId="1" fontId="3" fillId="0" borderId="0" xfId="0" applyNumberFormat="1" applyFont="1"/>
    <xf numFmtId="1" fontId="4" fillId="0" borderId="0" xfId="0" applyNumberFormat="1" applyFont="1"/>
    <xf numFmtId="2" fontId="58" fillId="0" borderId="0" xfId="0" applyNumberFormat="1" applyFont="1"/>
    <xf numFmtId="2" fontId="4" fillId="0" borderId="60" xfId="0" applyNumberFormat="1" applyFont="1" applyBorder="1"/>
    <xf numFmtId="0" fontId="78" fillId="0" borderId="0" xfId="0" applyFont="1"/>
    <xf numFmtId="0" fontId="0" fillId="0" borderId="61" xfId="0" applyBorder="1"/>
    <xf numFmtId="2" fontId="0" fillId="0" borderId="61" xfId="0" applyNumberFormat="1" applyBorder="1"/>
    <xf numFmtId="2" fontId="4" fillId="0" borderId="45" xfId="0" applyNumberFormat="1" applyFont="1" applyBorder="1"/>
    <xf numFmtId="2" fontId="3" fillId="0" borderId="62" xfId="0" applyNumberFormat="1" applyFont="1" applyBorder="1"/>
    <xf numFmtId="0" fontId="0" fillId="0" borderId="63" xfId="0" applyBorder="1"/>
    <xf numFmtId="0" fontId="0" fillId="0" borderId="64" xfId="0" applyBorder="1"/>
    <xf numFmtId="0" fontId="0" fillId="0" borderId="3" xfId="0" applyBorder="1"/>
    <xf numFmtId="2" fontId="3" fillId="0" borderId="65" xfId="0" applyNumberFormat="1" applyFont="1" applyBorder="1"/>
    <xf numFmtId="0" fontId="0" fillId="0" borderId="23" xfId="0" applyBorder="1" applyAlignment="1">
      <alignment vertical="top" wrapText="1"/>
    </xf>
    <xf numFmtId="2" fontId="66" fillId="0" borderId="29" xfId="0" applyNumberFormat="1" applyFont="1" applyBorder="1"/>
    <xf numFmtId="0" fontId="31" fillId="3" borderId="5" xfId="0" applyFont="1" applyFill="1" applyBorder="1" applyAlignment="1">
      <alignment horizontal="center"/>
    </xf>
    <xf numFmtId="0" fontId="31" fillId="3" borderId="10" xfId="0" applyFont="1" applyFill="1" applyBorder="1" applyAlignment="1">
      <alignment horizontal="center"/>
    </xf>
    <xf numFmtId="15" fontId="31" fillId="3" borderId="37" xfId="0" applyNumberFormat="1" applyFont="1" applyFill="1" applyBorder="1" applyAlignment="1">
      <alignment horizontal="center"/>
    </xf>
    <xf numFmtId="0" fontId="31" fillId="3" borderId="37" xfId="0" applyFont="1" applyFill="1" applyBorder="1" applyAlignment="1">
      <alignment horizontal="center"/>
    </xf>
    <xf numFmtId="1" fontId="48" fillId="3" borderId="37" xfId="0" applyNumberFormat="1" applyFont="1" applyFill="1" applyBorder="1" applyAlignment="1">
      <alignment horizontal="center"/>
    </xf>
    <xf numFmtId="1" fontId="31" fillId="3" borderId="37" xfId="0" applyNumberFormat="1" applyFont="1" applyFill="1" applyBorder="1" applyAlignment="1">
      <alignment horizontal="center"/>
    </xf>
    <xf numFmtId="1" fontId="76" fillId="3" borderId="37" xfId="0" applyNumberFormat="1" applyFont="1" applyFill="1" applyBorder="1" applyAlignment="1">
      <alignment horizontal="center"/>
    </xf>
    <xf numFmtId="1" fontId="52" fillId="3" borderId="37" xfId="0" applyNumberFormat="1" applyFont="1" applyFill="1" applyBorder="1" applyAlignment="1">
      <alignment horizontal="center"/>
    </xf>
    <xf numFmtId="1" fontId="31" fillId="3" borderId="37" xfId="0" applyNumberFormat="1" applyFont="1" applyFill="1" applyBorder="1" applyAlignment="1">
      <alignment horizontal="center" vertical="center"/>
    </xf>
    <xf numFmtId="1" fontId="31" fillId="3" borderId="36" xfId="0" applyNumberFormat="1" applyFont="1" applyFill="1" applyBorder="1" applyAlignment="1">
      <alignment horizontal="center" vertical="center"/>
    </xf>
    <xf numFmtId="0" fontId="31" fillId="3" borderId="24" xfId="0" applyFont="1" applyFill="1" applyBorder="1" applyAlignment="1">
      <alignment horizontal="center" vertical="center"/>
    </xf>
    <xf numFmtId="169" fontId="0" fillId="0" borderId="0" xfId="0" applyNumberFormat="1" applyAlignment="1">
      <alignment horizontal="left"/>
    </xf>
    <xf numFmtId="2" fontId="64" fillId="0" borderId="0" xfId="0" applyNumberFormat="1" applyFont="1"/>
    <xf numFmtId="0" fontId="64" fillId="0" borderId="32" xfId="0" applyFont="1" applyBorder="1"/>
    <xf numFmtId="2" fontId="69" fillId="0" borderId="0" xfId="2" applyNumberFormat="1" applyFont="1" applyAlignment="1">
      <alignment horizontal="center"/>
    </xf>
    <xf numFmtId="0" fontId="75" fillId="0" borderId="0" xfId="2" applyFont="1"/>
    <xf numFmtId="1" fontId="0" fillId="0" borderId="0" xfId="0" applyNumberFormat="1"/>
    <xf numFmtId="0" fontId="56" fillId="0" borderId="7" xfId="0" applyFont="1" applyBorder="1"/>
    <xf numFmtId="0" fontId="0" fillId="0" borderId="29" xfId="0" applyBorder="1"/>
    <xf numFmtId="2" fontId="3" fillId="3" borderId="29" xfId="0" applyNumberFormat="1" applyFont="1" applyFill="1" applyBorder="1"/>
    <xf numFmtId="2" fontId="58" fillId="0" borderId="0" xfId="2" applyNumberFormat="1" applyFont="1" applyAlignment="1">
      <alignment horizontal="center"/>
    </xf>
    <xf numFmtId="4" fontId="58" fillId="0" borderId="0" xfId="2" applyNumberFormat="1" applyFont="1" applyAlignment="1">
      <alignment horizontal="center"/>
    </xf>
    <xf numFmtId="0" fontId="57" fillId="0" borderId="0" xfId="2" applyFont="1" applyAlignment="1">
      <alignment horizontal="center"/>
    </xf>
    <xf numFmtId="2" fontId="56" fillId="0" borderId="0" xfId="0" applyNumberFormat="1" applyFont="1" applyAlignment="1">
      <alignment vertical="top"/>
    </xf>
    <xf numFmtId="2" fontId="57" fillId="0" borderId="0" xfId="2" applyNumberFormat="1" applyFont="1" applyAlignment="1">
      <alignment horizontal="center"/>
    </xf>
    <xf numFmtId="2" fontId="56" fillId="0" borderId="0" xfId="0" applyNumberFormat="1" applyFont="1"/>
    <xf numFmtId="2" fontId="56" fillId="0" borderId="0" xfId="2" applyNumberFormat="1" applyFont="1"/>
    <xf numFmtId="0" fontId="4" fillId="0" borderId="0" xfId="2" applyFont="1" applyAlignment="1">
      <alignment wrapText="1"/>
    </xf>
    <xf numFmtId="1" fontId="3" fillId="0" borderId="0" xfId="2" applyNumberFormat="1"/>
    <xf numFmtId="1" fontId="4" fillId="0" borderId="0" xfId="2" applyNumberFormat="1" applyFont="1"/>
    <xf numFmtId="174" fontId="3" fillId="0" borderId="0" xfId="2" applyNumberFormat="1"/>
    <xf numFmtId="174" fontId="4" fillId="0" borderId="0" xfId="2" applyNumberFormat="1" applyFont="1"/>
    <xf numFmtId="2" fontId="31" fillId="3" borderId="12" xfId="0" applyNumberFormat="1" applyFont="1" applyFill="1" applyBorder="1" applyAlignment="1">
      <alignment horizontal="center" vertical="center"/>
    </xf>
    <xf numFmtId="4" fontId="56" fillId="0" borderId="0" xfId="2" applyNumberFormat="1" applyFont="1"/>
    <xf numFmtId="0" fontId="56" fillId="0" borderId="0" xfId="0" applyFont="1"/>
    <xf numFmtId="0" fontId="58" fillId="0" borderId="29" xfId="0" applyFont="1" applyBorder="1"/>
    <xf numFmtId="2" fontId="0" fillId="3" borderId="29" xfId="0" applyNumberFormat="1" applyFill="1" applyBorder="1"/>
    <xf numFmtId="0" fontId="58" fillId="0" borderId="0" xfId="2" applyFont="1" applyAlignment="1">
      <alignment horizontal="center"/>
    </xf>
    <xf numFmtId="2" fontId="0" fillId="0" borderId="29" xfId="0" applyNumberFormat="1" applyBorder="1"/>
    <xf numFmtId="16" fontId="3" fillId="0" borderId="8" xfId="0" applyNumberFormat="1" applyFont="1" applyBorder="1" applyAlignment="1">
      <alignment horizontal="left"/>
    </xf>
    <xf numFmtId="2" fontId="58" fillId="0" borderId="0" xfId="2" applyNumberFormat="1" applyFont="1"/>
    <xf numFmtId="0" fontId="51" fillId="0" borderId="0" xfId="0" applyFont="1"/>
    <xf numFmtId="0" fontId="3" fillId="0" borderId="51" xfId="2" applyBorder="1" applyAlignment="1">
      <alignment horizontal="center"/>
    </xf>
    <xf numFmtId="0" fontId="3" fillId="0" borderId="52" xfId="2" applyBorder="1" applyAlignment="1">
      <alignment horizontal="center"/>
    </xf>
    <xf numFmtId="0" fontId="3" fillId="0" borderId="0" xfId="2"/>
    <xf numFmtId="0" fontId="0" fillId="0" borderId="0" xfId="0"/>
    <xf numFmtId="0" fontId="79" fillId="0" borderId="0" xfId="0" applyFont="1" applyAlignment="1">
      <alignment vertical="center"/>
    </xf>
    <xf numFmtId="0" fontId="6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Comma" xfId="1" builtinId="3"/>
    <cellStyle name="Normal" xfId="0" builtinId="0"/>
    <cellStyle name="Normal 2" xfId="2" xr:uid="{00000000-0005-0000-0000-000002000000}"/>
    <cellStyle name="Per cent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view="pageLayout" zoomScaleNormal="100" workbookViewId="0">
      <selection activeCell="D8" sqref="D8"/>
    </sheetView>
  </sheetViews>
  <sheetFormatPr baseColWidth="10" defaultColWidth="8.83203125" defaultRowHeight="15" x14ac:dyDescent="0.2"/>
  <cols>
    <col min="2" max="2" width="10.1640625" customWidth="1"/>
    <col min="3" max="3" width="10.33203125" customWidth="1"/>
    <col min="4" max="4" width="11.5" bestFit="1" customWidth="1"/>
    <col min="8" max="8" width="12.6640625" bestFit="1" customWidth="1"/>
  </cols>
  <sheetData>
    <row r="1" spans="1:10" ht="16" x14ac:dyDescent="0.2">
      <c r="A1" s="4" t="s">
        <v>20</v>
      </c>
      <c r="B1" s="2" t="s">
        <v>208</v>
      </c>
      <c r="E1" s="4" t="s">
        <v>21</v>
      </c>
      <c r="F1" s="2" t="s">
        <v>231</v>
      </c>
      <c r="G1" s="3"/>
      <c r="H1" s="3"/>
    </row>
    <row r="2" spans="1:10" ht="16" x14ac:dyDescent="0.2">
      <c r="A2" s="4"/>
      <c r="B2" s="2"/>
      <c r="E2" s="5"/>
      <c r="F2" s="2"/>
      <c r="G2" s="3"/>
      <c r="H2" s="3"/>
    </row>
    <row r="3" spans="1:10" ht="16" x14ac:dyDescent="0.2">
      <c r="E3" s="5"/>
      <c r="F3" s="7"/>
      <c r="G3" s="3"/>
      <c r="H3" s="3"/>
    </row>
    <row r="4" spans="1:10" ht="16" x14ac:dyDescent="0.2">
      <c r="B4" s="7" t="s">
        <v>230</v>
      </c>
      <c r="D4" s="3">
        <v>20199.63</v>
      </c>
      <c r="F4" s="7" t="s">
        <v>230</v>
      </c>
      <c r="G4" s="3"/>
      <c r="H4" s="383">
        <v>21950.06</v>
      </c>
      <c r="J4" s="134"/>
    </row>
    <row r="5" spans="1:10" ht="16" x14ac:dyDescent="0.2">
      <c r="B5" s="8" t="s">
        <v>22</v>
      </c>
      <c r="D5" s="383">
        <f>'2.Receipts'!H28</f>
        <v>0</v>
      </c>
      <c r="E5" s="5"/>
      <c r="F5" s="8" t="s">
        <v>22</v>
      </c>
      <c r="G5" s="3"/>
      <c r="H5" s="9">
        <f>'2.Receipts'!D28+'2.Receipts'!R28</f>
        <v>47012.149999999994</v>
      </c>
    </row>
    <row r="6" spans="1:10" ht="16" x14ac:dyDescent="0.2">
      <c r="B6" s="8" t="s">
        <v>60</v>
      </c>
      <c r="D6" s="383">
        <f>'2.Receipts'!F34</f>
        <v>451.95</v>
      </c>
      <c r="E6" s="5"/>
      <c r="F6" s="7"/>
      <c r="G6" s="3"/>
      <c r="H6" s="3">
        <f>SUM(H4,H5)</f>
        <v>68962.209999999992</v>
      </c>
    </row>
    <row r="7" spans="1:10" ht="16" x14ac:dyDescent="0.2">
      <c r="B7" s="8" t="s">
        <v>61</v>
      </c>
      <c r="D7" s="384"/>
      <c r="E7" s="1"/>
      <c r="F7" s="8" t="s">
        <v>23</v>
      </c>
      <c r="G7" s="3"/>
      <c r="H7" s="9">
        <f>'3.Payments'!D103+D5</f>
        <v>37785.600000000006</v>
      </c>
      <c r="I7" s="134"/>
    </row>
    <row r="8" spans="1:10" ht="17" thickBot="1" x14ac:dyDescent="0.25">
      <c r="B8" s="7" t="s">
        <v>24</v>
      </c>
      <c r="D8" s="10">
        <f>D4+D5+D6-D7</f>
        <v>20651.580000000002</v>
      </c>
      <c r="E8" s="5"/>
      <c r="F8" s="7" t="s">
        <v>25</v>
      </c>
      <c r="G8" s="3"/>
      <c r="H8" s="11">
        <f>SUM(H6-H7)</f>
        <v>31176.609999999986</v>
      </c>
      <c r="I8" s="134"/>
    </row>
    <row r="9" spans="1:10" ht="17" thickTop="1" x14ac:dyDescent="0.2">
      <c r="A9" s="6"/>
      <c r="B9" s="7"/>
      <c r="C9" s="3"/>
      <c r="D9" s="3"/>
      <c r="E9" s="5"/>
      <c r="F9" s="7"/>
      <c r="G9" s="7"/>
      <c r="H9" s="7"/>
    </row>
    <row r="10" spans="1:10" ht="16" x14ac:dyDescent="0.2">
      <c r="A10" s="6"/>
      <c r="B10" s="7"/>
      <c r="C10" s="3"/>
      <c r="D10" s="3"/>
      <c r="E10" s="5"/>
      <c r="F10" s="7"/>
      <c r="G10" s="7"/>
      <c r="H10" s="7"/>
    </row>
    <row r="11" spans="1:10" ht="17" thickBot="1" x14ac:dyDescent="0.25">
      <c r="A11" s="6"/>
      <c r="B11" s="7"/>
      <c r="C11" s="3"/>
      <c r="D11" s="9"/>
      <c r="E11" s="5"/>
      <c r="F11" s="7"/>
      <c r="G11" s="3"/>
      <c r="H11" s="3"/>
    </row>
    <row r="12" spans="1:10" ht="18" thickTop="1" thickBot="1" x14ac:dyDescent="0.25">
      <c r="A12" s="5"/>
      <c r="B12" s="7"/>
      <c r="C12" s="3"/>
      <c r="D12" s="3"/>
      <c r="E12" s="4"/>
      <c r="F12" s="2" t="s">
        <v>26</v>
      </c>
      <c r="G12" s="3"/>
      <c r="H12" s="294">
        <f>(H8+D8)</f>
        <v>51828.189999999988</v>
      </c>
    </row>
    <row r="13" spans="1:10" ht="17" thickTop="1" x14ac:dyDescent="0.2">
      <c r="A13" s="4"/>
      <c r="B13" s="2"/>
      <c r="C13" s="3"/>
      <c r="D13" s="3"/>
      <c r="E13" s="5"/>
      <c r="F13" s="2"/>
      <c r="G13" s="3"/>
      <c r="H13" s="3"/>
    </row>
    <row r="14" spans="1:10" ht="16" x14ac:dyDescent="0.2">
      <c r="A14" s="5"/>
      <c r="B14" s="2"/>
      <c r="C14" s="3"/>
      <c r="D14" s="3"/>
      <c r="E14" s="5"/>
      <c r="F14" s="7"/>
      <c r="G14" s="3"/>
      <c r="H14" s="3"/>
    </row>
    <row r="15" spans="1:10" ht="16" x14ac:dyDescent="0.2">
      <c r="A15" s="5"/>
      <c r="B15" s="7"/>
      <c r="C15" s="3"/>
      <c r="D15" s="3"/>
      <c r="E15" s="5"/>
      <c r="F15" s="7"/>
      <c r="G15" s="3"/>
      <c r="H15" s="9"/>
    </row>
    <row r="16" spans="1:10" ht="16" x14ac:dyDescent="0.2">
      <c r="A16" s="5"/>
      <c r="B16" s="8"/>
      <c r="C16" s="3"/>
      <c r="D16" s="9"/>
      <c r="E16" s="5"/>
      <c r="F16" s="7"/>
      <c r="G16" s="3"/>
      <c r="H16" s="9"/>
    </row>
    <row r="17" spans="1:8" ht="16" x14ac:dyDescent="0.2">
      <c r="A17" s="5"/>
      <c r="B17" s="8"/>
      <c r="C17" s="3"/>
      <c r="D17" s="3"/>
      <c r="E17" s="5"/>
      <c r="F17" s="7"/>
      <c r="G17" s="3"/>
      <c r="H17" s="9"/>
    </row>
    <row r="18" spans="1:8" ht="16" x14ac:dyDescent="0.2">
      <c r="A18" s="5"/>
      <c r="B18" s="8"/>
      <c r="C18" s="3"/>
      <c r="D18" s="9"/>
      <c r="E18" s="5"/>
      <c r="F18" s="7"/>
      <c r="G18" s="3"/>
      <c r="H18" s="3"/>
    </row>
    <row r="19" spans="1:8" ht="16" x14ac:dyDescent="0.2">
      <c r="A19" s="5"/>
      <c r="B19" s="7"/>
      <c r="C19" s="3"/>
      <c r="D19" s="3"/>
      <c r="H19" s="133"/>
    </row>
    <row r="26" spans="1:8" x14ac:dyDescent="0.2">
      <c r="E26" t="s">
        <v>3</v>
      </c>
    </row>
  </sheetData>
  <phoneticPr fontId="12" type="noConversion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headerFooter>
    <oddHeader>&amp;C&amp;"Calibri,Regular"&amp;K000000
&amp;R&amp;"Calibri,Regular"&amp;K000000
&amp;A              &amp;D</oddHeader>
    <oddFooter>&amp;C&amp;"Calibri,Regular"&amp;12&amp;K000000Kirton &amp; Falkenham Parish Council Financial report 2025/26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0"/>
  <sheetViews>
    <sheetView view="pageLayout" zoomScaleNormal="150" workbookViewId="0">
      <selection activeCell="L28" sqref="L28"/>
    </sheetView>
  </sheetViews>
  <sheetFormatPr baseColWidth="10" defaultColWidth="8.83203125" defaultRowHeight="15" x14ac:dyDescent="0.2"/>
  <cols>
    <col min="1" max="1" width="9" bestFit="1" customWidth="1"/>
    <col min="2" max="2" width="3.1640625" customWidth="1"/>
    <col min="3" max="3" width="19.33203125" customWidth="1"/>
    <col min="4" max="4" width="9" bestFit="1" customWidth="1"/>
    <col min="5" max="5" width="4.33203125" customWidth="1"/>
    <col min="6" max="7" width="9.1640625" bestFit="1" customWidth="1"/>
    <col min="8" max="8" width="9.1640625" customWidth="1"/>
    <col min="9" max="16" width="9" bestFit="1" customWidth="1"/>
    <col min="17" max="17" width="9" customWidth="1"/>
    <col min="18" max="18" width="9" bestFit="1" customWidth="1"/>
  </cols>
  <sheetData>
    <row r="1" spans="1:18" ht="44" thickBot="1" x14ac:dyDescent="0.25">
      <c r="A1" s="336" t="s">
        <v>0</v>
      </c>
      <c r="B1" s="337"/>
      <c r="C1" s="337" t="s">
        <v>1</v>
      </c>
      <c r="D1" s="338" t="s">
        <v>29</v>
      </c>
      <c r="E1" s="339" t="s">
        <v>2</v>
      </c>
      <c r="F1" s="338" t="s">
        <v>17</v>
      </c>
      <c r="G1" s="338" t="s">
        <v>86</v>
      </c>
      <c r="H1" s="338" t="s">
        <v>221</v>
      </c>
      <c r="I1" s="338" t="s">
        <v>45</v>
      </c>
      <c r="J1" s="338" t="s">
        <v>47</v>
      </c>
      <c r="K1" s="338" t="s">
        <v>48</v>
      </c>
      <c r="L1" s="338" t="s">
        <v>46</v>
      </c>
      <c r="M1" s="338" t="s">
        <v>49</v>
      </c>
      <c r="N1" s="338" t="s">
        <v>50</v>
      </c>
      <c r="O1" s="338" t="s">
        <v>51</v>
      </c>
      <c r="P1" s="340" t="s">
        <v>159</v>
      </c>
      <c r="Q1" s="341" t="s">
        <v>87</v>
      </c>
      <c r="R1" s="341" t="s">
        <v>211</v>
      </c>
    </row>
    <row r="2" spans="1:18" x14ac:dyDescent="0.2">
      <c r="A2" s="126">
        <v>45790</v>
      </c>
      <c r="B2" s="136"/>
      <c r="C2" s="118" t="s">
        <v>248</v>
      </c>
      <c r="D2" s="125">
        <v>13424.5</v>
      </c>
      <c r="E2" s="342">
        <v>1</v>
      </c>
      <c r="F2" s="125"/>
      <c r="G2" s="125"/>
      <c r="H2" s="125"/>
      <c r="I2" s="125">
        <f>D2</f>
        <v>13424.5</v>
      </c>
      <c r="J2" s="125"/>
      <c r="K2" s="125"/>
      <c r="L2" s="125"/>
      <c r="M2" s="125"/>
      <c r="N2" s="125"/>
      <c r="O2" s="125"/>
      <c r="P2" s="343"/>
      <c r="Q2" s="343"/>
      <c r="R2" s="128"/>
    </row>
    <row r="3" spans="1:18" x14ac:dyDescent="0.2">
      <c r="A3" s="126">
        <v>45790</v>
      </c>
      <c r="B3" s="136"/>
      <c r="C3" s="118" t="s">
        <v>49</v>
      </c>
      <c r="D3" s="125">
        <v>51.71</v>
      </c>
      <c r="E3" s="342">
        <v>2</v>
      </c>
      <c r="F3" s="125"/>
      <c r="G3" s="125"/>
      <c r="H3" s="125"/>
      <c r="I3" s="125"/>
      <c r="J3" s="125"/>
      <c r="K3" s="125"/>
      <c r="L3" s="125"/>
      <c r="M3" s="125">
        <f>D3</f>
        <v>51.71</v>
      </c>
      <c r="N3" s="125"/>
      <c r="O3" s="125"/>
      <c r="P3" s="370"/>
      <c r="Q3" s="344"/>
      <c r="R3" s="128"/>
    </row>
    <row r="4" spans="1:18" x14ac:dyDescent="0.2">
      <c r="A4" s="126">
        <v>45790</v>
      </c>
      <c r="B4" s="136"/>
      <c r="C4" s="118" t="s">
        <v>247</v>
      </c>
      <c r="D4" s="125">
        <v>2485.56</v>
      </c>
      <c r="E4" s="348">
        <v>3</v>
      </c>
      <c r="F4" s="125"/>
      <c r="G4" s="125"/>
      <c r="H4" s="125"/>
      <c r="I4" s="125"/>
      <c r="K4" s="125">
        <f>D4</f>
        <v>2485.56</v>
      </c>
      <c r="L4" s="125"/>
      <c r="M4" s="125"/>
      <c r="N4" s="125"/>
      <c r="O4" s="125"/>
      <c r="P4" s="125"/>
      <c r="Q4" s="299"/>
      <c r="R4" s="128"/>
    </row>
    <row r="5" spans="1:18" x14ac:dyDescent="0.2">
      <c r="A5" s="126">
        <v>45854</v>
      </c>
      <c r="B5" s="136"/>
      <c r="C5" s="118" t="s">
        <v>255</v>
      </c>
      <c r="D5" s="125">
        <v>10800</v>
      </c>
      <c r="E5" s="342">
        <v>4</v>
      </c>
      <c r="F5" s="125"/>
      <c r="G5" s="125"/>
      <c r="H5" s="125"/>
      <c r="I5" s="235"/>
      <c r="J5" s="125"/>
      <c r="K5" s="125"/>
      <c r="L5" s="125"/>
      <c r="M5" s="125"/>
      <c r="N5" s="125"/>
      <c r="O5" s="125">
        <f>D5</f>
        <v>10800</v>
      </c>
      <c r="P5" s="343"/>
      <c r="Q5" s="343"/>
      <c r="R5" s="128"/>
    </row>
    <row r="6" spans="1:18" x14ac:dyDescent="0.2">
      <c r="A6" s="126">
        <v>45855</v>
      </c>
      <c r="B6" s="136"/>
      <c r="C6" s="118" t="s">
        <v>46</v>
      </c>
      <c r="D6" s="125"/>
      <c r="E6" s="342">
        <v>5</v>
      </c>
      <c r="F6" s="125"/>
      <c r="G6" s="125"/>
      <c r="H6" s="125"/>
      <c r="I6" s="125"/>
      <c r="J6" s="125"/>
      <c r="K6" s="125"/>
      <c r="L6" s="125">
        <v>118.15</v>
      </c>
      <c r="M6" s="125"/>
      <c r="N6" s="125"/>
      <c r="O6" s="125"/>
      <c r="P6" s="343"/>
      <c r="Q6" s="343"/>
      <c r="R6" s="128"/>
    </row>
    <row r="7" spans="1:18" x14ac:dyDescent="0.2">
      <c r="A7" s="126">
        <v>45937</v>
      </c>
      <c r="B7" s="136"/>
      <c r="C7" s="118" t="s">
        <v>248</v>
      </c>
      <c r="D7" s="125">
        <v>13424.5</v>
      </c>
      <c r="E7" s="342">
        <v>6</v>
      </c>
      <c r="F7" s="125"/>
      <c r="G7" s="125"/>
      <c r="H7" s="125"/>
      <c r="I7" s="125">
        <f>D7</f>
        <v>13424.5</v>
      </c>
      <c r="J7" s="125"/>
      <c r="K7" s="125"/>
      <c r="L7" s="125"/>
      <c r="M7" s="125"/>
      <c r="N7" s="125"/>
      <c r="O7" s="125"/>
      <c r="P7" s="343"/>
      <c r="Q7" s="343"/>
      <c r="R7" s="128"/>
    </row>
    <row r="8" spans="1:18" x14ac:dyDescent="0.2">
      <c r="A8" s="126">
        <v>45937</v>
      </c>
      <c r="B8" s="136"/>
      <c r="C8" s="118" t="s">
        <v>278</v>
      </c>
      <c r="D8" s="125">
        <v>676</v>
      </c>
      <c r="E8" s="342">
        <v>7</v>
      </c>
      <c r="F8" s="125"/>
      <c r="G8" s="125"/>
      <c r="H8" s="125"/>
      <c r="I8" s="125"/>
      <c r="J8" s="125">
        <v>170.36</v>
      </c>
      <c r="K8" s="125">
        <f>D8-J8</f>
        <v>505.64</v>
      </c>
      <c r="L8" s="125"/>
      <c r="M8" s="125"/>
      <c r="N8" s="125"/>
      <c r="O8" s="125"/>
      <c r="P8" s="343"/>
      <c r="Q8" s="343"/>
      <c r="R8" s="128"/>
    </row>
    <row r="9" spans="1:18" x14ac:dyDescent="0.2">
      <c r="A9" s="126">
        <v>45937</v>
      </c>
      <c r="B9" s="136"/>
      <c r="C9" s="118" t="s">
        <v>46</v>
      </c>
      <c r="D9" s="125"/>
      <c r="E9" s="342">
        <v>8</v>
      </c>
      <c r="F9" s="125"/>
      <c r="G9" s="125"/>
      <c r="H9" s="125"/>
      <c r="I9" s="125"/>
      <c r="J9" s="125"/>
      <c r="K9" s="125"/>
      <c r="L9" s="125">
        <v>115.23</v>
      </c>
      <c r="M9" s="125"/>
      <c r="N9" s="125"/>
      <c r="O9" s="125"/>
      <c r="P9" s="343"/>
      <c r="Q9" s="343"/>
      <c r="R9" s="128"/>
    </row>
    <row r="10" spans="1:18" x14ac:dyDescent="0.2">
      <c r="A10" s="126">
        <v>45954</v>
      </c>
      <c r="B10" s="136"/>
      <c r="C10" s="118" t="s">
        <v>281</v>
      </c>
      <c r="D10" s="125">
        <v>3524.88</v>
      </c>
      <c r="E10" s="342">
        <v>9</v>
      </c>
      <c r="F10" s="125"/>
      <c r="G10" s="125"/>
      <c r="H10" s="125"/>
      <c r="I10" s="125"/>
      <c r="J10" s="125"/>
      <c r="K10" s="125"/>
      <c r="L10" s="125"/>
      <c r="M10" s="125">
        <f>D10</f>
        <v>3524.88</v>
      </c>
      <c r="N10" s="125"/>
      <c r="O10" s="125"/>
      <c r="P10" s="343"/>
      <c r="Q10" s="343"/>
      <c r="R10" s="128"/>
    </row>
    <row r="11" spans="1:18" x14ac:dyDescent="0.2">
      <c r="A11" s="126">
        <v>46029</v>
      </c>
      <c r="B11" s="136"/>
      <c r="C11" s="118" t="s">
        <v>302</v>
      </c>
      <c r="D11" s="125">
        <v>125</v>
      </c>
      <c r="E11" s="342">
        <v>10</v>
      </c>
      <c r="F11" s="125"/>
      <c r="G11" s="125"/>
      <c r="H11" s="125"/>
      <c r="I11" s="345"/>
      <c r="J11" s="345"/>
      <c r="K11" s="345"/>
      <c r="L11" s="345"/>
      <c r="M11" s="345"/>
      <c r="N11" s="345"/>
      <c r="O11" s="345"/>
      <c r="P11" s="346"/>
      <c r="Q11" s="346">
        <f>D11</f>
        <v>125</v>
      </c>
      <c r="R11" s="347"/>
    </row>
    <row r="12" spans="1:18" x14ac:dyDescent="0.2">
      <c r="A12" s="126">
        <v>46031</v>
      </c>
      <c r="B12" s="136"/>
      <c r="C12" s="118" t="s">
        <v>46</v>
      </c>
      <c r="D12" s="125"/>
      <c r="E12" s="342">
        <v>11</v>
      </c>
      <c r="F12" s="125"/>
      <c r="G12" s="125"/>
      <c r="H12" s="125"/>
      <c r="I12" s="345"/>
      <c r="J12" s="345"/>
      <c r="K12" s="345"/>
      <c r="L12" s="345">
        <v>112.61</v>
      </c>
      <c r="M12" s="345"/>
      <c r="N12" s="345"/>
      <c r="O12" s="345"/>
      <c r="P12" s="346"/>
      <c r="Q12" s="346"/>
      <c r="R12" s="347"/>
    </row>
    <row r="13" spans="1:18" x14ac:dyDescent="0.2">
      <c r="A13" s="126">
        <v>46050</v>
      </c>
      <c r="B13" s="136"/>
      <c r="C13" s="118" t="s">
        <v>303</v>
      </c>
      <c r="D13" s="125">
        <v>2500</v>
      </c>
      <c r="E13" s="342">
        <v>12</v>
      </c>
      <c r="F13" s="125"/>
      <c r="G13" s="125"/>
      <c r="H13" s="125"/>
      <c r="I13" s="345"/>
      <c r="J13" s="345"/>
      <c r="K13" s="345"/>
      <c r="L13" s="345"/>
      <c r="M13" s="345"/>
      <c r="N13" s="345"/>
      <c r="O13" s="345">
        <f>D13</f>
        <v>2500</v>
      </c>
      <c r="P13" s="346"/>
      <c r="Q13" s="346"/>
      <c r="R13" s="347"/>
    </row>
    <row r="14" spans="1:18" x14ac:dyDescent="0.2">
      <c r="A14" s="126">
        <v>46112</v>
      </c>
      <c r="B14" s="136"/>
      <c r="C14" s="118" t="s">
        <v>46</v>
      </c>
      <c r="D14" s="125"/>
      <c r="E14" s="342">
        <v>13</v>
      </c>
      <c r="F14" s="125"/>
      <c r="G14" s="125"/>
      <c r="H14" s="125"/>
      <c r="I14" s="345"/>
      <c r="J14" s="345"/>
      <c r="K14" s="345"/>
      <c r="L14" s="345">
        <v>105.96</v>
      </c>
      <c r="M14" s="345"/>
      <c r="N14" s="345"/>
      <c r="O14" s="345"/>
      <c r="P14" s="346"/>
      <c r="Q14" s="346"/>
      <c r="R14" s="347"/>
    </row>
    <row r="15" spans="1:18" x14ac:dyDescent="0.2">
      <c r="A15" s="126"/>
      <c r="B15" s="136"/>
      <c r="C15" s="118"/>
      <c r="D15" s="125"/>
      <c r="E15" s="342"/>
      <c r="F15" s="125"/>
      <c r="G15" s="125"/>
      <c r="H15" s="125"/>
      <c r="I15" s="345"/>
      <c r="J15" s="345"/>
      <c r="K15" s="345"/>
      <c r="L15" s="345"/>
      <c r="M15" s="345"/>
      <c r="N15" s="345"/>
      <c r="O15" s="345"/>
      <c r="P15" s="346"/>
      <c r="Q15" s="346"/>
      <c r="R15" s="347"/>
    </row>
    <row r="16" spans="1:18" x14ac:dyDescent="0.2">
      <c r="A16" s="126"/>
      <c r="B16" s="136"/>
      <c r="C16" s="118"/>
      <c r="D16" s="125"/>
      <c r="E16" s="342"/>
      <c r="F16" s="125"/>
      <c r="G16" s="125"/>
      <c r="H16" s="125"/>
      <c r="I16" s="345"/>
      <c r="J16" s="345"/>
      <c r="K16" s="345"/>
      <c r="L16" s="345"/>
      <c r="M16" s="345"/>
      <c r="N16" s="345"/>
      <c r="O16" s="345"/>
      <c r="P16" s="346"/>
      <c r="Q16" s="346"/>
      <c r="R16" s="347"/>
    </row>
    <row r="17" spans="1:18" x14ac:dyDescent="0.2">
      <c r="A17" s="126"/>
      <c r="B17" s="136"/>
      <c r="C17" s="118"/>
      <c r="D17" s="125"/>
      <c r="E17" s="342"/>
      <c r="F17" s="125"/>
      <c r="G17" s="125"/>
      <c r="H17" s="125"/>
      <c r="I17" s="345"/>
      <c r="J17" s="345"/>
      <c r="K17" s="345"/>
      <c r="L17" s="345"/>
      <c r="M17" s="345"/>
      <c r="N17" s="345"/>
      <c r="O17" s="345"/>
      <c r="P17" s="346"/>
      <c r="Q17" s="346"/>
      <c r="R17" s="347"/>
    </row>
    <row r="18" spans="1:18" x14ac:dyDescent="0.2">
      <c r="A18" s="126"/>
      <c r="B18" s="136"/>
      <c r="C18" s="118"/>
      <c r="D18" s="125"/>
      <c r="E18" s="342"/>
      <c r="F18" s="125"/>
      <c r="G18" s="125"/>
      <c r="H18" s="125"/>
      <c r="I18" s="345"/>
      <c r="J18" s="345"/>
      <c r="K18" s="345"/>
      <c r="L18" s="345"/>
      <c r="M18" s="345"/>
      <c r="N18" s="345"/>
      <c r="O18" s="345"/>
      <c r="P18" s="346"/>
      <c r="Q18" s="346"/>
      <c r="R18" s="347"/>
    </row>
    <row r="19" spans="1:18" x14ac:dyDescent="0.2">
      <c r="A19" s="126"/>
      <c r="B19" s="136" t="s">
        <v>4</v>
      </c>
      <c r="C19" s="118"/>
      <c r="D19" s="125"/>
      <c r="E19" s="342"/>
      <c r="F19" s="125"/>
      <c r="G19" s="125"/>
      <c r="H19" s="125"/>
      <c r="I19" s="345"/>
      <c r="J19" s="345"/>
      <c r="K19" s="345"/>
      <c r="L19" s="345"/>
      <c r="M19" s="345"/>
      <c r="N19" s="345"/>
      <c r="O19" s="345"/>
      <c r="P19" s="346"/>
      <c r="Q19" s="346"/>
      <c r="R19" s="347"/>
    </row>
    <row r="20" spans="1:18" x14ac:dyDescent="0.2">
      <c r="A20" s="126"/>
      <c r="B20" s="136" t="s">
        <v>4</v>
      </c>
      <c r="C20" s="118"/>
      <c r="D20" s="125"/>
      <c r="E20" s="342"/>
      <c r="F20" s="125"/>
      <c r="G20" s="125"/>
      <c r="H20" s="125"/>
      <c r="I20" s="345"/>
      <c r="J20" s="345"/>
      <c r="K20" s="345"/>
      <c r="L20" s="345"/>
      <c r="M20" s="345"/>
      <c r="N20" s="345"/>
      <c r="O20" s="345"/>
      <c r="P20" s="346"/>
      <c r="Q20" s="346"/>
      <c r="R20" s="347"/>
    </row>
    <row r="21" spans="1:18" x14ac:dyDescent="0.2">
      <c r="A21" s="126"/>
      <c r="B21" s="136"/>
      <c r="C21" s="118"/>
      <c r="D21" s="125"/>
      <c r="E21" s="342"/>
      <c r="F21" s="125"/>
      <c r="G21" s="125"/>
      <c r="H21" s="125"/>
      <c r="I21" s="345"/>
      <c r="J21" s="345"/>
      <c r="K21" s="345"/>
      <c r="L21" s="345"/>
      <c r="M21" s="345"/>
      <c r="N21" s="345"/>
      <c r="O21" s="345"/>
      <c r="P21" s="346"/>
      <c r="Q21" s="346"/>
      <c r="R21" s="347"/>
    </row>
    <row r="22" spans="1:18" x14ac:dyDescent="0.2">
      <c r="A22" s="126"/>
      <c r="B22" s="136" t="s">
        <v>4</v>
      </c>
      <c r="C22" s="118"/>
      <c r="D22" s="125"/>
      <c r="E22" s="342"/>
      <c r="F22" s="125"/>
      <c r="G22" s="125"/>
      <c r="H22" s="125"/>
      <c r="I22" s="345"/>
      <c r="J22" s="345"/>
      <c r="K22" s="345"/>
      <c r="L22" s="345"/>
      <c r="M22" s="345"/>
      <c r="N22" s="345" t="s">
        <v>3</v>
      </c>
      <c r="O22" s="345"/>
      <c r="P22" s="346"/>
      <c r="Q22" s="346"/>
      <c r="R22" s="347" t="s">
        <v>3</v>
      </c>
    </row>
    <row r="23" spans="1:18" x14ac:dyDescent="0.2">
      <c r="A23" s="126"/>
      <c r="B23" s="136" t="s">
        <v>4</v>
      </c>
      <c r="C23" s="118"/>
      <c r="D23" s="125"/>
      <c r="E23" s="342"/>
      <c r="F23" s="125"/>
      <c r="G23" s="125"/>
      <c r="H23" s="125"/>
      <c r="I23" s="345"/>
      <c r="J23" s="345"/>
      <c r="K23" s="345"/>
      <c r="L23" s="345"/>
      <c r="M23" s="345" t="s">
        <v>3</v>
      </c>
      <c r="N23" s="345"/>
      <c r="O23" s="345"/>
      <c r="P23" s="346"/>
      <c r="Q23" s="346"/>
      <c r="R23" s="347"/>
    </row>
    <row r="24" spans="1:18" x14ac:dyDescent="0.2">
      <c r="A24" s="126"/>
      <c r="B24" s="136" t="s">
        <v>4</v>
      </c>
      <c r="C24" s="118"/>
      <c r="D24" s="125"/>
      <c r="E24" s="342"/>
      <c r="F24" s="125"/>
      <c r="G24" s="125"/>
      <c r="H24" s="125"/>
      <c r="I24" s="345"/>
      <c r="J24" s="345"/>
      <c r="K24" s="345"/>
      <c r="L24" s="345"/>
      <c r="M24" s="345" t="s">
        <v>3</v>
      </c>
      <c r="N24" s="345"/>
      <c r="O24" s="345"/>
      <c r="P24" s="346"/>
      <c r="Q24" s="346"/>
      <c r="R24" s="347"/>
    </row>
    <row r="25" spans="1:18" x14ac:dyDescent="0.2">
      <c r="A25" s="126"/>
      <c r="B25" s="136" t="s">
        <v>4</v>
      </c>
      <c r="C25" s="118"/>
      <c r="D25" s="125"/>
      <c r="E25" s="348"/>
      <c r="F25" s="125"/>
      <c r="G25" s="125"/>
      <c r="H25" s="125"/>
      <c r="I25" s="345"/>
      <c r="J25" s="345"/>
      <c r="K25" s="345"/>
      <c r="L25" s="345"/>
      <c r="M25" s="345"/>
      <c r="N25" s="345" t="s">
        <v>3</v>
      </c>
      <c r="O25" s="345"/>
      <c r="P25" s="346"/>
      <c r="Q25" s="346"/>
      <c r="R25" s="347" t="s">
        <v>3</v>
      </c>
    </row>
    <row r="26" spans="1:18" x14ac:dyDescent="0.2">
      <c r="A26" s="126"/>
      <c r="B26" s="136" t="s">
        <v>4</v>
      </c>
      <c r="C26" s="118"/>
      <c r="D26" s="125"/>
      <c r="E26" s="348"/>
      <c r="F26" s="125"/>
      <c r="G26" s="125"/>
      <c r="H26" s="125"/>
      <c r="I26" s="345"/>
      <c r="J26" s="345"/>
      <c r="K26" s="345"/>
      <c r="L26" s="345"/>
      <c r="M26" s="345"/>
      <c r="N26" s="345"/>
      <c r="O26" s="345"/>
      <c r="P26" s="346"/>
      <c r="Q26" s="346"/>
      <c r="R26" s="347" t="s">
        <v>3</v>
      </c>
    </row>
    <row r="27" spans="1:18" ht="16" thickBot="1" x14ac:dyDescent="0.25">
      <c r="A27" s="349"/>
      <c r="B27" s="350" t="s">
        <v>4</v>
      </c>
      <c r="C27" s="351"/>
      <c r="D27" s="125"/>
      <c r="E27" s="348"/>
      <c r="F27" s="125"/>
      <c r="G27" s="125"/>
      <c r="H27" s="125"/>
      <c r="I27" s="345"/>
      <c r="J27" s="345"/>
      <c r="K27" s="345"/>
      <c r="L27" s="345"/>
      <c r="M27" s="345"/>
      <c r="N27" s="345"/>
      <c r="O27" s="345"/>
      <c r="P27" s="346"/>
      <c r="Q27" s="346"/>
      <c r="R27" s="347"/>
    </row>
    <row r="28" spans="1:18" ht="17" thickTop="1" thickBot="1" x14ac:dyDescent="0.25">
      <c r="A28" s="352"/>
      <c r="B28" s="352"/>
      <c r="C28" s="201" t="s">
        <v>5</v>
      </c>
      <c r="D28" s="353">
        <f>SUM(D2:D27)</f>
        <v>47012.149999999994</v>
      </c>
      <c r="E28" s="354"/>
      <c r="F28" s="353">
        <f t="shared" ref="F28:R28" si="0">SUM(F2:F27)</f>
        <v>0</v>
      </c>
      <c r="G28" s="353">
        <f t="shared" si="0"/>
        <v>0</v>
      </c>
      <c r="H28" s="353">
        <f t="shared" si="0"/>
        <v>0</v>
      </c>
      <c r="I28" s="353">
        <f t="shared" si="0"/>
        <v>26849</v>
      </c>
      <c r="J28" s="353">
        <f t="shared" si="0"/>
        <v>170.36</v>
      </c>
      <c r="K28" s="353">
        <f t="shared" si="0"/>
        <v>2991.2</v>
      </c>
      <c r="L28" s="353">
        <f t="shared" si="0"/>
        <v>451.95</v>
      </c>
      <c r="M28" s="353">
        <f t="shared" si="0"/>
        <v>3576.59</v>
      </c>
      <c r="N28" s="353">
        <f t="shared" si="0"/>
        <v>0</v>
      </c>
      <c r="O28" s="353">
        <f t="shared" si="0"/>
        <v>13300</v>
      </c>
      <c r="P28" s="353">
        <f t="shared" si="0"/>
        <v>0</v>
      </c>
      <c r="Q28" s="353">
        <f t="shared" si="0"/>
        <v>125</v>
      </c>
      <c r="R28" s="359">
        <f t="shared" si="0"/>
        <v>0</v>
      </c>
    </row>
    <row r="29" spans="1:18" ht="16" thickTop="1" x14ac:dyDescent="0.2">
      <c r="A29" s="355"/>
      <c r="B29" s="355"/>
      <c r="C29" s="296"/>
      <c r="D29" s="299"/>
      <c r="E29" s="356"/>
      <c r="F29" s="299"/>
      <c r="G29" s="299"/>
      <c r="H29" s="299"/>
      <c r="I29" s="299"/>
      <c r="J29" s="299"/>
      <c r="K29" s="299"/>
      <c r="L29" s="299"/>
      <c r="M29" s="299"/>
      <c r="N29" s="299"/>
      <c r="O29" s="299"/>
      <c r="P29" s="299"/>
      <c r="Q29" s="299"/>
      <c r="R29" s="299"/>
    </row>
    <row r="30" spans="1:18" x14ac:dyDescent="0.2">
      <c r="A30" s="355"/>
      <c r="B30" s="355"/>
      <c r="C30" s="201" t="s">
        <v>156</v>
      </c>
      <c r="D30" s="202"/>
      <c r="E30" s="357"/>
      <c r="F30" s="202">
        <f>(D28)</f>
        <v>47012.149999999994</v>
      </c>
      <c r="G30" s="202"/>
      <c r="H30" s="202"/>
      <c r="J30" s="299"/>
      <c r="K30" s="299"/>
      <c r="L30" s="299"/>
      <c r="M30" s="299"/>
      <c r="N30" s="299"/>
      <c r="O30" s="299"/>
      <c r="P30" s="299"/>
      <c r="Q30" s="299"/>
      <c r="R30" s="299"/>
    </row>
    <row r="31" spans="1:18" x14ac:dyDescent="0.2">
      <c r="A31" s="355"/>
      <c r="B31" s="355"/>
      <c r="C31" s="201" t="s">
        <v>157</v>
      </c>
      <c r="D31" s="202"/>
      <c r="E31" s="357"/>
      <c r="F31" s="202"/>
      <c r="G31" s="202"/>
      <c r="H31" s="202"/>
      <c r="J31" s="299"/>
      <c r="K31" s="299"/>
      <c r="L31" s="299"/>
      <c r="M31" s="299"/>
      <c r="N31" s="299"/>
      <c r="O31" s="299"/>
      <c r="P31" s="299"/>
      <c r="Q31" s="299"/>
      <c r="R31" s="299"/>
    </row>
    <row r="32" spans="1:18" x14ac:dyDescent="0.2">
      <c r="A32" s="355"/>
      <c r="B32" s="355"/>
      <c r="C32" s="201" t="s">
        <v>154</v>
      </c>
      <c r="D32" s="202"/>
      <c r="E32" s="357"/>
      <c r="F32" s="202"/>
      <c r="G32" s="202"/>
      <c r="H32" s="202"/>
      <c r="J32" s="299"/>
      <c r="K32" s="299"/>
      <c r="L32" s="299"/>
      <c r="M32" s="299"/>
      <c r="N32" s="299"/>
      <c r="O32" s="299"/>
      <c r="P32" s="299"/>
      <c r="Q32" s="299"/>
      <c r="R32" s="299"/>
    </row>
    <row r="33" spans="1:18" x14ac:dyDescent="0.2">
      <c r="A33" s="355"/>
      <c r="B33" s="355"/>
      <c r="C33" s="201" t="s">
        <v>222</v>
      </c>
      <c r="D33" s="202"/>
      <c r="E33" s="357"/>
      <c r="F33" s="202">
        <f>H28</f>
        <v>0</v>
      </c>
      <c r="G33" s="202"/>
      <c r="H33" s="202"/>
      <c r="J33" s="299"/>
      <c r="K33" s="299"/>
      <c r="L33" s="299"/>
      <c r="M33" s="299"/>
      <c r="N33" s="299"/>
      <c r="O33" s="299"/>
      <c r="P33" s="299"/>
      <c r="Q33" s="299"/>
      <c r="R33" s="299"/>
    </row>
    <row r="34" spans="1:18" x14ac:dyDescent="0.2">
      <c r="A34" s="355"/>
      <c r="B34" s="355"/>
      <c r="C34" s="201" t="s">
        <v>223</v>
      </c>
      <c r="D34" s="202"/>
      <c r="E34" s="357"/>
      <c r="F34" s="202">
        <f>L28</f>
        <v>451.95</v>
      </c>
      <c r="G34" s="202"/>
      <c r="H34" s="202"/>
      <c r="J34" s="299"/>
      <c r="K34" s="299"/>
      <c r="L34" s="299"/>
      <c r="M34" s="299"/>
      <c r="N34" s="299"/>
      <c r="O34" s="299"/>
      <c r="P34" s="299"/>
      <c r="Q34" s="299"/>
      <c r="R34" s="299"/>
    </row>
    <row r="35" spans="1:18" x14ac:dyDescent="0.2">
      <c r="A35" s="355"/>
      <c r="B35" s="355"/>
      <c r="C35" s="201"/>
      <c r="D35" s="202"/>
      <c r="E35" s="357"/>
      <c r="F35" s="202"/>
      <c r="G35" s="202"/>
      <c r="H35" s="202"/>
      <c r="J35" s="299"/>
      <c r="K35" s="299"/>
      <c r="L35" s="299"/>
      <c r="M35" s="299"/>
      <c r="N35" s="299"/>
      <c r="O35" s="299"/>
      <c r="P35" s="299"/>
      <c r="Q35" s="299"/>
      <c r="R35" s="299"/>
    </row>
    <row r="36" spans="1:18" ht="16" thickBot="1" x14ac:dyDescent="0.25">
      <c r="A36" s="355"/>
      <c r="B36" s="355"/>
      <c r="C36" s="201" t="s">
        <v>6</v>
      </c>
      <c r="D36" s="202"/>
      <c r="E36" s="357"/>
      <c r="F36" s="305">
        <f>SUM(F30:F32)</f>
        <v>47012.149999999994</v>
      </c>
      <c r="G36" s="299"/>
      <c r="H36" s="299"/>
      <c r="I36" s="134">
        <f>D5+D10</f>
        <v>14324.880000000001</v>
      </c>
      <c r="J36" s="299"/>
      <c r="K36" s="299"/>
      <c r="L36" s="299"/>
      <c r="M36" s="299"/>
      <c r="N36" s="299"/>
      <c r="O36" s="299"/>
      <c r="P36" s="299"/>
      <c r="Q36" s="299"/>
      <c r="R36" s="299"/>
    </row>
    <row r="37" spans="1:18" ht="16" thickTop="1" x14ac:dyDescent="0.2">
      <c r="A37" s="235"/>
      <c r="B37" s="235"/>
      <c r="C37" s="236" t="s">
        <v>210</v>
      </c>
      <c r="D37" s="235"/>
      <c r="E37" s="235"/>
      <c r="F37" s="358">
        <f>F36+R28</f>
        <v>47012.149999999994</v>
      </c>
      <c r="G37" s="235"/>
      <c r="H37" s="235"/>
      <c r="J37" s="235"/>
      <c r="K37" s="235"/>
      <c r="L37" s="235"/>
      <c r="M37" s="235"/>
      <c r="N37" s="235"/>
      <c r="O37" s="235"/>
      <c r="P37" s="235"/>
      <c r="Q37" s="235"/>
      <c r="R37" s="235"/>
    </row>
    <row r="38" spans="1:18" x14ac:dyDescent="0.2">
      <c r="A38" s="235"/>
      <c r="B38" s="235"/>
      <c r="C38" s="235"/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</row>
    <row r="39" spans="1:18" x14ac:dyDescent="0.2">
      <c r="A39" s="235"/>
      <c r="B39" s="235"/>
      <c r="C39" s="235"/>
      <c r="D39" s="235"/>
      <c r="E39" s="235"/>
      <c r="F39" s="235"/>
      <c r="G39" s="235"/>
      <c r="H39" s="344"/>
      <c r="I39" s="235"/>
      <c r="J39" s="235"/>
      <c r="K39" s="235"/>
      <c r="L39" s="235"/>
      <c r="M39" s="235"/>
      <c r="N39" s="235"/>
      <c r="O39" s="235"/>
      <c r="P39" s="235"/>
      <c r="Q39" s="235"/>
      <c r="R39" s="235"/>
    </row>
    <row r="40" spans="1:18" x14ac:dyDescent="0.2">
      <c r="A40" s="235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</row>
  </sheetData>
  <phoneticPr fontId="12" type="noConversion"/>
  <pageMargins left="0.70000000000000007" right="0.70000000000000007" top="0.75000000000000011" bottom="0.75000000000000011" header="0.30000000000000004" footer="0.30000000000000004"/>
  <pageSetup paperSize="9" scale="76" orientation="landscape" horizontalDpi="4294967293" verticalDpi="4294967293"/>
  <headerFooter>
    <oddHeader>&amp;R&amp;"Calibri,Regular"&amp;K000000&amp;A              &amp;D</oddHeader>
    <oddFooter>&amp;C&amp;"Calibri,Regular"&amp;12&amp;K000000Kirton &amp; Falkenham Parish Council Financial report 2024/25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09"/>
  <sheetViews>
    <sheetView view="pageLayout" topLeftCell="A63" zoomScale="125" zoomScaleNormal="100" zoomScalePageLayoutView="125" workbookViewId="0">
      <selection activeCell="R89" sqref="R89"/>
    </sheetView>
  </sheetViews>
  <sheetFormatPr baseColWidth="10" defaultColWidth="8.83203125" defaultRowHeight="15" x14ac:dyDescent="0.2"/>
  <cols>
    <col min="2" max="2" width="24.1640625" customWidth="1"/>
    <col min="3" max="3" width="2.5" customWidth="1"/>
    <col min="4" max="4" width="9.1640625" bestFit="1" customWidth="1"/>
    <col min="6" max="6" width="4.6640625" customWidth="1"/>
    <col min="7" max="7" width="8.83203125" customWidth="1"/>
    <col min="8" max="8" width="11.5" customWidth="1"/>
    <col min="9" max="9" width="10.83203125" customWidth="1"/>
    <col min="10" max="10" width="8.5" customWidth="1"/>
    <col min="12" max="12" width="9.1640625" customWidth="1"/>
    <col min="13" max="13" width="11" customWidth="1"/>
    <col min="15" max="15" width="9" customWidth="1"/>
    <col min="17" max="17" width="10.33203125" customWidth="1"/>
    <col min="18" max="18" width="10.83203125" customWidth="1"/>
    <col min="19" max="19" width="8.83203125" customWidth="1"/>
    <col min="21" max="21" width="9.83203125" customWidth="1"/>
  </cols>
  <sheetData>
    <row r="1" spans="1:24" s="15" customFormat="1" ht="38" customHeight="1" thickBot="1" x14ac:dyDescent="0.25">
      <c r="A1" s="119" t="s">
        <v>0</v>
      </c>
      <c r="B1" s="120" t="s">
        <v>7</v>
      </c>
      <c r="C1" s="120"/>
      <c r="D1" s="121" t="s">
        <v>224</v>
      </c>
      <c r="E1" s="121" t="s">
        <v>30</v>
      </c>
      <c r="F1" s="120" t="s">
        <v>2</v>
      </c>
      <c r="G1" s="120" t="s">
        <v>31</v>
      </c>
      <c r="H1" s="122" t="s">
        <v>32</v>
      </c>
      <c r="I1" s="123" t="s">
        <v>33</v>
      </c>
      <c r="J1" s="123" t="s">
        <v>18</v>
      </c>
      <c r="K1" s="123" t="s">
        <v>34</v>
      </c>
      <c r="L1" s="123" t="s">
        <v>35</v>
      </c>
      <c r="M1" s="123" t="s">
        <v>36</v>
      </c>
      <c r="N1" s="123" t="s">
        <v>37</v>
      </c>
      <c r="O1" s="123" t="s">
        <v>38</v>
      </c>
      <c r="P1" s="123" t="s">
        <v>39</v>
      </c>
      <c r="Q1" s="123" t="s">
        <v>40</v>
      </c>
      <c r="R1" s="123" t="s">
        <v>41</v>
      </c>
      <c r="S1" s="123" t="s">
        <v>42</v>
      </c>
      <c r="T1" s="122" t="s">
        <v>44</v>
      </c>
      <c r="U1" s="122" t="s">
        <v>88</v>
      </c>
      <c r="V1" s="122" t="s">
        <v>89</v>
      </c>
      <c r="W1" s="124" t="s">
        <v>43</v>
      </c>
      <c r="X1" s="369" t="s">
        <v>209</v>
      </c>
    </row>
    <row r="2" spans="1:24" x14ac:dyDescent="0.2">
      <c r="A2" s="126">
        <v>45754</v>
      </c>
      <c r="B2" s="118" t="s">
        <v>236</v>
      </c>
      <c r="C2" s="118"/>
      <c r="D2" s="125">
        <v>479.59</v>
      </c>
      <c r="E2" s="125"/>
      <c r="F2" s="127">
        <v>1</v>
      </c>
      <c r="G2" s="127"/>
      <c r="H2" s="125">
        <f>D2</f>
        <v>479.59</v>
      </c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240"/>
      <c r="U2" s="240"/>
      <c r="V2" s="240"/>
      <c r="W2" s="368"/>
      <c r="X2" s="361"/>
    </row>
    <row r="3" spans="1:24" x14ac:dyDescent="0.2">
      <c r="A3" s="126">
        <v>45754</v>
      </c>
      <c r="B3" s="118" t="s">
        <v>237</v>
      </c>
      <c r="C3" s="118"/>
      <c r="D3" s="125">
        <v>158.49</v>
      </c>
      <c r="E3" s="125"/>
      <c r="F3" s="127">
        <v>2</v>
      </c>
      <c r="G3" s="127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>
        <f>D3</f>
        <v>158.49</v>
      </c>
      <c r="T3" s="240"/>
      <c r="U3" s="240"/>
      <c r="V3" s="240"/>
      <c r="W3" s="125">
        <v>26.41</v>
      </c>
      <c r="X3" s="361"/>
    </row>
    <row r="4" spans="1:24" x14ac:dyDescent="0.2">
      <c r="A4" s="126">
        <v>45754</v>
      </c>
      <c r="B4" s="136" t="s">
        <v>238</v>
      </c>
      <c r="C4" s="118"/>
      <c r="D4" s="125">
        <v>541.16999999999996</v>
      </c>
      <c r="E4" s="125"/>
      <c r="F4" s="127">
        <v>3</v>
      </c>
      <c r="G4" s="127"/>
      <c r="H4" s="125"/>
      <c r="I4" s="125">
        <f>D4</f>
        <v>541.16999999999996</v>
      </c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240"/>
      <c r="U4" s="240"/>
      <c r="V4" s="240"/>
      <c r="W4" s="125"/>
      <c r="X4" s="361"/>
    </row>
    <row r="5" spans="1:24" x14ac:dyDescent="0.2">
      <c r="A5" s="126">
        <v>45754</v>
      </c>
      <c r="B5" s="118" t="s">
        <v>239</v>
      </c>
      <c r="C5" s="118"/>
      <c r="D5" s="125">
        <v>35</v>
      </c>
      <c r="E5" s="125"/>
      <c r="F5" s="127">
        <v>4</v>
      </c>
      <c r="G5" s="127"/>
      <c r="H5" s="125"/>
      <c r="I5" s="125"/>
      <c r="J5" s="125"/>
      <c r="K5" s="125"/>
      <c r="L5" s="125">
        <f>D5</f>
        <v>35</v>
      </c>
      <c r="M5" s="125"/>
      <c r="N5" s="125"/>
      <c r="O5" s="125"/>
      <c r="P5" s="125"/>
      <c r="Q5" s="125"/>
      <c r="R5" s="125"/>
      <c r="S5" s="125"/>
      <c r="T5" s="240"/>
      <c r="U5" s="240"/>
      <c r="V5" s="240"/>
      <c r="W5" s="125"/>
      <c r="X5" s="361"/>
    </row>
    <row r="6" spans="1:24" x14ac:dyDescent="0.2">
      <c r="A6" s="126">
        <v>45754</v>
      </c>
      <c r="B6" s="118" t="s">
        <v>240</v>
      </c>
      <c r="C6" s="118"/>
      <c r="D6" s="125">
        <v>120</v>
      </c>
      <c r="E6" s="125"/>
      <c r="F6" s="127">
        <v>5</v>
      </c>
      <c r="G6" s="127"/>
      <c r="H6" s="125"/>
      <c r="I6" s="125"/>
      <c r="J6" s="125"/>
      <c r="K6" s="125"/>
      <c r="L6" s="125">
        <f>D6</f>
        <v>120</v>
      </c>
      <c r="M6" s="125"/>
      <c r="N6" s="125"/>
      <c r="O6" s="125"/>
      <c r="P6" s="125"/>
      <c r="Q6" s="125"/>
      <c r="R6" s="125"/>
      <c r="S6" s="125"/>
      <c r="T6" s="240"/>
      <c r="U6" s="241"/>
      <c r="V6" s="240"/>
      <c r="W6" s="125"/>
      <c r="X6" s="361"/>
    </row>
    <row r="7" spans="1:24" x14ac:dyDescent="0.2">
      <c r="A7" s="126">
        <v>45754</v>
      </c>
      <c r="B7" s="118" t="s">
        <v>241</v>
      </c>
      <c r="C7" s="118"/>
      <c r="D7" s="125">
        <v>35.9</v>
      </c>
      <c r="E7" s="125"/>
      <c r="F7" s="127" t="s">
        <v>242</v>
      </c>
      <c r="G7" s="127"/>
      <c r="H7" s="125"/>
      <c r="I7" s="125"/>
      <c r="J7" s="125"/>
      <c r="K7" s="125"/>
      <c r="L7" s="125">
        <f>D7</f>
        <v>35.9</v>
      </c>
      <c r="M7" s="125"/>
      <c r="N7" s="125"/>
      <c r="O7" s="125"/>
      <c r="P7" s="125"/>
      <c r="Q7" s="125"/>
      <c r="R7" s="125"/>
      <c r="S7" s="125"/>
      <c r="T7" s="240"/>
      <c r="U7" s="240"/>
      <c r="V7" s="240"/>
      <c r="W7" s="125"/>
      <c r="X7" s="361"/>
    </row>
    <row r="8" spans="1:24" x14ac:dyDescent="0.2">
      <c r="A8" s="297">
        <v>45790</v>
      </c>
      <c r="B8" s="118" t="s">
        <v>236</v>
      </c>
      <c r="C8" s="118"/>
      <c r="D8" s="125">
        <v>479.59</v>
      </c>
      <c r="E8" s="125"/>
      <c r="F8" s="127">
        <v>6</v>
      </c>
      <c r="G8" s="127"/>
      <c r="H8" s="125">
        <f>D8</f>
        <v>479.59</v>
      </c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240"/>
      <c r="U8" s="241"/>
      <c r="V8" s="240"/>
      <c r="W8" s="125"/>
      <c r="X8" s="361"/>
    </row>
    <row r="9" spans="1:24" x14ac:dyDescent="0.2">
      <c r="A9" s="297">
        <v>45790</v>
      </c>
      <c r="B9" s="118" t="s">
        <v>241</v>
      </c>
      <c r="C9" s="118"/>
      <c r="D9" s="125">
        <v>35.9</v>
      </c>
      <c r="E9" s="125"/>
      <c r="F9" s="127" t="s">
        <v>242</v>
      </c>
      <c r="G9" s="127"/>
      <c r="H9" s="125"/>
      <c r="I9" s="125"/>
      <c r="J9" s="125"/>
      <c r="K9" s="125"/>
      <c r="L9" s="125">
        <f>D9</f>
        <v>35.9</v>
      </c>
      <c r="M9" s="125"/>
      <c r="N9" s="125"/>
      <c r="O9" s="125"/>
      <c r="P9" s="125"/>
      <c r="Q9" s="125"/>
      <c r="R9" s="125"/>
      <c r="S9" s="125"/>
      <c r="T9" s="241"/>
      <c r="U9" s="241"/>
      <c r="V9" s="240"/>
      <c r="W9" s="125"/>
      <c r="X9" s="361"/>
    </row>
    <row r="10" spans="1:24" x14ac:dyDescent="0.2">
      <c r="A10" s="297">
        <v>45790</v>
      </c>
      <c r="B10" s="118" t="s">
        <v>243</v>
      </c>
      <c r="C10" s="320"/>
      <c r="D10" s="125">
        <v>19.989999999999998</v>
      </c>
      <c r="E10" s="321"/>
      <c r="F10" s="127">
        <v>7</v>
      </c>
      <c r="G10" s="127"/>
      <c r="H10" s="125"/>
      <c r="I10" s="125"/>
      <c r="J10" s="125"/>
      <c r="K10" s="125"/>
      <c r="L10" s="240"/>
      <c r="M10" s="125">
        <f>D10</f>
        <v>19.989999999999998</v>
      </c>
      <c r="N10" s="125"/>
      <c r="O10" s="125"/>
      <c r="P10" s="125"/>
      <c r="Q10" s="125"/>
      <c r="R10" s="125"/>
      <c r="S10" s="125"/>
      <c r="T10" s="240"/>
      <c r="U10" s="240"/>
      <c r="V10" s="388"/>
      <c r="W10" s="389">
        <v>3.33</v>
      </c>
      <c r="X10" s="361"/>
    </row>
    <row r="11" spans="1:24" x14ac:dyDescent="0.2">
      <c r="A11" s="297">
        <v>45790</v>
      </c>
      <c r="B11" s="118" t="s">
        <v>244</v>
      </c>
      <c r="C11" s="118"/>
      <c r="D11" s="125">
        <v>72.34</v>
      </c>
      <c r="E11" s="125"/>
      <c r="F11" s="127">
        <v>8</v>
      </c>
      <c r="G11" s="127"/>
      <c r="H11" s="125"/>
      <c r="I11" s="125"/>
      <c r="J11" s="125"/>
      <c r="K11" s="125"/>
      <c r="L11" s="125"/>
      <c r="M11" s="125">
        <f>D11</f>
        <v>72.34</v>
      </c>
      <c r="N11" s="125"/>
      <c r="O11" s="125"/>
      <c r="P11" s="125"/>
      <c r="Q11" s="125"/>
      <c r="R11" s="125"/>
      <c r="S11" s="125"/>
      <c r="T11" s="240"/>
      <c r="U11" s="240"/>
      <c r="V11" s="240"/>
      <c r="W11" s="125">
        <v>9.73</v>
      </c>
      <c r="X11" s="361"/>
    </row>
    <row r="12" spans="1:24" x14ac:dyDescent="0.2">
      <c r="A12" s="297">
        <v>45790</v>
      </c>
      <c r="B12" s="118" t="s">
        <v>245</v>
      </c>
      <c r="C12" s="118"/>
      <c r="D12" s="125">
        <v>220</v>
      </c>
      <c r="E12" s="125"/>
      <c r="F12" s="127">
        <v>9</v>
      </c>
      <c r="G12" s="127"/>
      <c r="H12" s="125"/>
      <c r="I12" s="125"/>
      <c r="J12" s="125"/>
      <c r="K12" s="125"/>
      <c r="L12" s="125">
        <f>D12</f>
        <v>220</v>
      </c>
      <c r="M12" s="125"/>
      <c r="N12" s="125"/>
      <c r="O12" s="125"/>
      <c r="P12" s="125"/>
      <c r="Q12" s="125"/>
      <c r="R12" s="125"/>
      <c r="S12" s="125"/>
      <c r="T12" s="240"/>
      <c r="U12" s="240"/>
      <c r="V12" s="240"/>
      <c r="W12" s="125"/>
      <c r="X12" s="361"/>
    </row>
    <row r="13" spans="1:24" x14ac:dyDescent="0.2">
      <c r="A13" s="297">
        <v>45790</v>
      </c>
      <c r="B13" s="118" t="s">
        <v>246</v>
      </c>
      <c r="C13" s="118"/>
      <c r="D13" s="125">
        <v>2946</v>
      </c>
      <c r="E13" s="125"/>
      <c r="F13" s="127">
        <v>10</v>
      </c>
      <c r="G13" s="127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240"/>
      <c r="U13" s="241">
        <f>D13</f>
        <v>2946</v>
      </c>
      <c r="V13" s="240"/>
      <c r="W13" s="125"/>
      <c r="X13" s="361"/>
    </row>
    <row r="14" spans="1:24" x14ac:dyDescent="0.2">
      <c r="A14" s="297">
        <v>45790</v>
      </c>
      <c r="B14" s="118" t="s">
        <v>247</v>
      </c>
      <c r="C14" s="118"/>
      <c r="D14" s="125">
        <v>2485.56</v>
      </c>
      <c r="E14" s="125"/>
      <c r="F14" s="127">
        <v>11</v>
      </c>
      <c r="G14" s="127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240"/>
      <c r="U14" s="241">
        <f>D14</f>
        <v>2485.56</v>
      </c>
      <c r="V14" s="240"/>
      <c r="W14" s="125"/>
      <c r="X14" s="361"/>
    </row>
    <row r="15" spans="1:24" x14ac:dyDescent="0.2">
      <c r="A15" s="297">
        <v>45790</v>
      </c>
      <c r="B15" s="118" t="s">
        <v>249</v>
      </c>
      <c r="C15" s="320"/>
      <c r="D15" s="125">
        <v>6</v>
      </c>
      <c r="E15" s="125"/>
      <c r="F15" s="127" t="s">
        <v>242</v>
      </c>
      <c r="G15" s="127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241">
        <f>D15</f>
        <v>6</v>
      </c>
      <c r="U15" s="240"/>
      <c r="V15" s="240"/>
      <c r="W15" s="125"/>
      <c r="X15" s="361"/>
    </row>
    <row r="16" spans="1:24" x14ac:dyDescent="0.2">
      <c r="A16" s="126">
        <v>45811</v>
      </c>
      <c r="B16" s="118" t="s">
        <v>236</v>
      </c>
      <c r="C16" s="118"/>
      <c r="D16" s="125">
        <v>479.59</v>
      </c>
      <c r="E16" s="125"/>
      <c r="F16" s="127">
        <v>12</v>
      </c>
      <c r="G16" s="127"/>
      <c r="H16" s="125">
        <f>D16</f>
        <v>479.59</v>
      </c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241"/>
      <c r="U16" s="240"/>
      <c r="V16" s="240"/>
      <c r="W16" s="125"/>
      <c r="X16" s="361"/>
    </row>
    <row r="17" spans="1:24" x14ac:dyDescent="0.2">
      <c r="A17" s="126">
        <v>45811</v>
      </c>
      <c r="B17" s="118" t="s">
        <v>241</v>
      </c>
      <c r="C17" s="118"/>
      <c r="D17" s="125">
        <v>35.9</v>
      </c>
      <c r="E17" s="125"/>
      <c r="F17" s="127">
        <v>13</v>
      </c>
      <c r="G17" s="127"/>
      <c r="H17" s="125"/>
      <c r="I17" s="125"/>
      <c r="J17" s="125"/>
      <c r="K17" s="125"/>
      <c r="L17" s="125">
        <f>D17</f>
        <v>35.9</v>
      </c>
      <c r="M17" s="125"/>
      <c r="N17" s="125"/>
      <c r="O17" s="125"/>
      <c r="P17" s="125"/>
      <c r="Q17" s="125"/>
      <c r="R17" s="125"/>
      <c r="S17" s="125"/>
      <c r="T17" s="241"/>
      <c r="U17" s="240"/>
      <c r="V17" s="240"/>
      <c r="W17" s="125"/>
      <c r="X17" s="361"/>
    </row>
    <row r="18" spans="1:24" x14ac:dyDescent="0.2">
      <c r="A18" s="126">
        <v>45811</v>
      </c>
      <c r="B18" s="118" t="s">
        <v>250</v>
      </c>
      <c r="C18" s="320"/>
      <c r="D18" s="125">
        <v>28.8</v>
      </c>
      <c r="E18" s="125"/>
      <c r="F18" s="127">
        <v>14</v>
      </c>
      <c r="G18" s="127"/>
      <c r="H18" s="125"/>
      <c r="I18" s="125"/>
      <c r="J18" s="125"/>
      <c r="K18" s="125"/>
      <c r="L18" s="125"/>
      <c r="M18" s="125">
        <f>D18</f>
        <v>28.8</v>
      </c>
      <c r="N18" s="125"/>
      <c r="O18" s="125"/>
      <c r="P18" s="125"/>
      <c r="Q18" s="125"/>
      <c r="R18" s="125"/>
      <c r="S18" s="125"/>
      <c r="T18" s="240"/>
      <c r="U18" s="240"/>
      <c r="V18" s="241"/>
      <c r="W18" s="125"/>
      <c r="X18" s="361"/>
    </row>
    <row r="19" spans="1:24" x14ac:dyDescent="0.2">
      <c r="A19" s="126">
        <v>45811</v>
      </c>
      <c r="B19" s="118" t="s">
        <v>251</v>
      </c>
      <c r="C19" s="118"/>
      <c r="D19" s="125">
        <v>34.18</v>
      </c>
      <c r="E19" s="125"/>
      <c r="F19" s="127">
        <v>15</v>
      </c>
      <c r="G19" s="127"/>
      <c r="H19" s="125"/>
      <c r="I19" s="125"/>
      <c r="J19" s="125"/>
      <c r="K19" s="125"/>
      <c r="L19" s="125"/>
      <c r="M19" s="125">
        <f>D19</f>
        <v>34.18</v>
      </c>
      <c r="N19" s="125"/>
      <c r="O19" s="125"/>
      <c r="P19" s="125"/>
      <c r="Q19" s="125"/>
      <c r="R19" s="125"/>
      <c r="S19" s="125"/>
      <c r="T19" s="241"/>
      <c r="U19" s="240"/>
      <c r="V19" s="240"/>
      <c r="W19" s="125">
        <v>4.67</v>
      </c>
      <c r="X19" s="361"/>
    </row>
    <row r="20" spans="1:24" x14ac:dyDescent="0.2">
      <c r="A20" s="126">
        <v>45811</v>
      </c>
      <c r="B20" s="118" t="s">
        <v>252</v>
      </c>
      <c r="C20" s="320"/>
      <c r="D20" s="125">
        <v>441.48</v>
      </c>
      <c r="E20" s="125"/>
      <c r="F20" s="127">
        <v>16</v>
      </c>
      <c r="G20" s="127"/>
      <c r="H20" s="125">
        <f>D20</f>
        <v>441.48</v>
      </c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240"/>
      <c r="U20" s="240"/>
      <c r="V20" s="240"/>
      <c r="W20" s="125"/>
      <c r="X20" s="361"/>
    </row>
    <row r="21" spans="1:24" x14ac:dyDescent="0.2">
      <c r="A21" s="126">
        <v>45811</v>
      </c>
      <c r="B21" s="118" t="s">
        <v>253</v>
      </c>
      <c r="C21" s="118"/>
      <c r="D21" s="125">
        <v>6</v>
      </c>
      <c r="E21" s="125"/>
      <c r="F21" s="127" t="s">
        <v>242</v>
      </c>
      <c r="G21" s="127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241">
        <f>D21</f>
        <v>6</v>
      </c>
      <c r="U21" s="240"/>
      <c r="V21" s="240"/>
      <c r="W21" s="125"/>
      <c r="X21" s="361"/>
    </row>
    <row r="22" spans="1:24" x14ac:dyDescent="0.2">
      <c r="A22" s="126">
        <v>45825</v>
      </c>
      <c r="B22" s="118" t="s">
        <v>254</v>
      </c>
      <c r="C22" s="118"/>
      <c r="D22" s="125">
        <v>235</v>
      </c>
      <c r="E22" s="125"/>
      <c r="F22" s="127">
        <v>17</v>
      </c>
      <c r="G22" s="127"/>
      <c r="H22" s="125"/>
      <c r="I22" s="125"/>
      <c r="J22" s="125"/>
      <c r="K22" s="125"/>
      <c r="L22" s="125"/>
      <c r="M22" s="125"/>
      <c r="N22" s="125"/>
      <c r="O22" s="125"/>
      <c r="P22" s="125"/>
      <c r="Q22" s="125">
        <f>D22</f>
        <v>235</v>
      </c>
      <c r="R22" s="125"/>
      <c r="S22" s="125"/>
      <c r="T22" s="240"/>
      <c r="U22" s="240"/>
      <c r="V22" s="240"/>
      <c r="W22" s="125"/>
      <c r="X22" s="361"/>
    </row>
    <row r="23" spans="1:24" x14ac:dyDescent="0.2">
      <c r="A23" s="126">
        <v>45854</v>
      </c>
      <c r="B23" s="118" t="s">
        <v>236</v>
      </c>
      <c r="C23" s="118"/>
      <c r="D23" s="125">
        <v>479.59</v>
      </c>
      <c r="E23" s="125"/>
      <c r="F23" s="127">
        <v>18</v>
      </c>
      <c r="G23" s="127"/>
      <c r="H23" s="125">
        <f>D23</f>
        <v>479.59</v>
      </c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241"/>
      <c r="U23" s="240"/>
      <c r="V23" s="240"/>
      <c r="W23" s="125"/>
      <c r="X23" s="361"/>
    </row>
    <row r="24" spans="1:24" x14ac:dyDescent="0.2">
      <c r="A24" s="126">
        <v>45854</v>
      </c>
      <c r="B24" s="118" t="s">
        <v>255</v>
      </c>
      <c r="C24" s="118"/>
      <c r="D24" s="125">
        <v>10800</v>
      </c>
      <c r="E24" s="125"/>
      <c r="F24" s="127">
        <v>19</v>
      </c>
      <c r="G24" s="127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>
        <f>D24</f>
        <v>10800</v>
      </c>
      <c r="T24" s="241"/>
      <c r="U24" s="241"/>
      <c r="V24" s="240"/>
      <c r="W24" s="125"/>
      <c r="X24" s="361"/>
    </row>
    <row r="25" spans="1:24" x14ac:dyDescent="0.2">
      <c r="A25" s="126">
        <v>45855</v>
      </c>
      <c r="B25" s="118" t="s">
        <v>256</v>
      </c>
      <c r="C25" s="118"/>
      <c r="D25" s="125">
        <v>6</v>
      </c>
      <c r="E25" s="125"/>
      <c r="F25" s="127" t="s">
        <v>242</v>
      </c>
      <c r="G25" s="127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241">
        <f>D25</f>
        <v>6</v>
      </c>
      <c r="U25" s="240"/>
      <c r="V25" s="240"/>
      <c r="W25" s="125"/>
      <c r="X25" s="361"/>
    </row>
    <row r="26" spans="1:24" x14ac:dyDescent="0.2">
      <c r="A26" s="126">
        <v>45855</v>
      </c>
      <c r="B26" s="118" t="s">
        <v>241</v>
      </c>
      <c r="C26" s="118"/>
      <c r="D26" s="125">
        <v>35.9</v>
      </c>
      <c r="E26" s="125"/>
      <c r="F26" s="127" t="s">
        <v>242</v>
      </c>
      <c r="G26" s="127"/>
      <c r="H26" s="125"/>
      <c r="I26" s="125"/>
      <c r="J26" s="125"/>
      <c r="K26" s="125"/>
      <c r="L26" s="125">
        <f>D26</f>
        <v>35.9</v>
      </c>
      <c r="M26" s="125"/>
      <c r="N26" s="125"/>
      <c r="O26" s="125"/>
      <c r="P26" s="125"/>
      <c r="Q26" s="125"/>
      <c r="R26" s="125"/>
      <c r="S26" s="125"/>
      <c r="T26" s="241"/>
      <c r="U26" s="241"/>
      <c r="V26" s="240"/>
      <c r="W26" s="125"/>
      <c r="X26" s="361"/>
    </row>
    <row r="27" spans="1:24" x14ac:dyDescent="0.2">
      <c r="A27" s="126">
        <v>45883</v>
      </c>
      <c r="B27" s="118" t="s">
        <v>257</v>
      </c>
      <c r="C27" s="118"/>
      <c r="D27" s="125">
        <v>6</v>
      </c>
      <c r="E27" s="125"/>
      <c r="F27" s="127" t="s">
        <v>242</v>
      </c>
      <c r="G27" s="127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241">
        <f>D27</f>
        <v>6</v>
      </c>
      <c r="U27" s="240"/>
      <c r="V27" s="240"/>
      <c r="W27" s="125"/>
      <c r="X27" s="361"/>
    </row>
    <row r="28" spans="1:24" x14ac:dyDescent="0.2">
      <c r="A28" s="126">
        <v>45883</v>
      </c>
      <c r="B28" s="118" t="s">
        <v>258</v>
      </c>
      <c r="C28" s="118"/>
      <c r="D28" s="125">
        <v>47</v>
      </c>
      <c r="E28" s="125"/>
      <c r="F28" s="127" t="s">
        <v>242</v>
      </c>
      <c r="G28" s="127"/>
      <c r="H28" s="125"/>
      <c r="I28" s="125"/>
      <c r="J28" s="125"/>
      <c r="K28" s="125"/>
      <c r="L28" s="125">
        <f>D28</f>
        <v>47</v>
      </c>
      <c r="M28" s="125"/>
      <c r="N28" s="125"/>
      <c r="O28" s="125"/>
      <c r="P28" s="125"/>
      <c r="Q28" s="125"/>
      <c r="R28" s="125"/>
      <c r="S28" s="125"/>
      <c r="T28" s="240"/>
      <c r="U28" s="240"/>
      <c r="V28" s="240"/>
      <c r="W28" s="125"/>
      <c r="X28" s="362"/>
    </row>
    <row r="29" spans="1:24" x14ac:dyDescent="0.2">
      <c r="A29" s="126">
        <v>45883</v>
      </c>
      <c r="B29" s="118" t="s">
        <v>236</v>
      </c>
      <c r="C29" s="118"/>
      <c r="D29" s="125">
        <v>479.59</v>
      </c>
      <c r="E29" s="125"/>
      <c r="F29" s="127">
        <v>20</v>
      </c>
      <c r="G29" s="127"/>
      <c r="H29" s="125">
        <f>D29</f>
        <v>479.59</v>
      </c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240"/>
      <c r="U29" s="240"/>
      <c r="V29" s="240"/>
      <c r="W29" s="125"/>
      <c r="X29" s="361"/>
    </row>
    <row r="30" spans="1:24" x14ac:dyDescent="0.2">
      <c r="A30" s="126">
        <v>45883</v>
      </c>
      <c r="B30" s="118" t="s">
        <v>259</v>
      </c>
      <c r="C30" s="118"/>
      <c r="D30" s="125">
        <v>21.49</v>
      </c>
      <c r="E30" s="125"/>
      <c r="F30" s="127">
        <v>21</v>
      </c>
      <c r="G30" s="127"/>
      <c r="H30" s="125"/>
      <c r="I30" s="125"/>
      <c r="J30" s="125"/>
      <c r="K30" s="125"/>
      <c r="L30" s="125"/>
      <c r="M30" s="125">
        <f>D30</f>
        <v>21.49</v>
      </c>
      <c r="N30" s="125"/>
      <c r="O30" s="125"/>
      <c r="P30" s="125"/>
      <c r="Q30" s="125"/>
      <c r="R30" s="125"/>
      <c r="S30" s="125"/>
      <c r="T30" s="240"/>
      <c r="U30" s="241"/>
      <c r="V30" s="240"/>
      <c r="W30" s="125">
        <f>3.58</f>
        <v>3.58</v>
      </c>
      <c r="X30" s="361"/>
    </row>
    <row r="31" spans="1:24" x14ac:dyDescent="0.2">
      <c r="A31" s="126">
        <v>45883</v>
      </c>
      <c r="B31" s="118" t="s">
        <v>241</v>
      </c>
      <c r="C31" s="118"/>
      <c r="D31" s="125">
        <v>35.9</v>
      </c>
      <c r="E31" s="125"/>
      <c r="F31" s="127" t="s">
        <v>242</v>
      </c>
      <c r="G31" s="127"/>
      <c r="H31" s="125"/>
      <c r="I31" s="125"/>
      <c r="J31" s="125"/>
      <c r="K31" s="125"/>
      <c r="L31" s="125">
        <f>D31</f>
        <v>35.9</v>
      </c>
      <c r="M31" s="125"/>
      <c r="N31" s="125"/>
      <c r="O31" s="125"/>
      <c r="P31" s="125"/>
      <c r="Q31" s="125"/>
      <c r="R31" s="125"/>
      <c r="S31" s="125"/>
      <c r="T31" s="241"/>
      <c r="U31" s="241"/>
      <c r="V31" s="240"/>
      <c r="W31" s="125"/>
      <c r="X31" s="361"/>
    </row>
    <row r="32" spans="1:24" x14ac:dyDescent="0.2">
      <c r="A32" s="126">
        <v>45904</v>
      </c>
      <c r="B32" s="118" t="s">
        <v>236</v>
      </c>
      <c r="C32" s="118"/>
      <c r="D32" s="125">
        <v>479.59</v>
      </c>
      <c r="E32" s="125"/>
      <c r="F32" s="127">
        <v>22</v>
      </c>
      <c r="G32" s="127"/>
      <c r="H32" s="125">
        <f>D32</f>
        <v>479.59</v>
      </c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241"/>
      <c r="U32" s="240"/>
      <c r="V32" s="240"/>
      <c r="W32" s="125"/>
      <c r="X32" s="361"/>
    </row>
    <row r="33" spans="1:25" x14ac:dyDescent="0.2">
      <c r="A33" s="126">
        <v>45904</v>
      </c>
      <c r="B33" s="118" t="s">
        <v>252</v>
      </c>
      <c r="C33" s="320"/>
      <c r="D33" s="125">
        <v>441.48</v>
      </c>
      <c r="E33" s="125"/>
      <c r="F33" s="127">
        <v>23</v>
      </c>
      <c r="G33" s="127"/>
      <c r="H33" s="125">
        <f>D33</f>
        <v>441.48</v>
      </c>
      <c r="I33" s="129"/>
      <c r="J33" s="129"/>
      <c r="K33" s="129"/>
      <c r="L33" s="129"/>
      <c r="M33" s="127"/>
      <c r="N33" s="129"/>
      <c r="O33" s="129"/>
      <c r="P33" s="129"/>
      <c r="Q33" s="129"/>
      <c r="R33" s="129"/>
      <c r="S33" s="125"/>
      <c r="T33" s="240"/>
      <c r="U33" s="240"/>
      <c r="V33" s="240"/>
      <c r="W33" s="129"/>
      <c r="X33" s="361"/>
    </row>
    <row r="34" spans="1:25" x14ac:dyDescent="0.2">
      <c r="A34" s="126">
        <v>45904</v>
      </c>
      <c r="B34" s="118" t="s">
        <v>260</v>
      </c>
      <c r="C34" s="118"/>
      <c r="D34" s="125">
        <v>252</v>
      </c>
      <c r="E34" s="125"/>
      <c r="F34" s="127">
        <v>24</v>
      </c>
      <c r="G34" s="127"/>
      <c r="H34" s="129"/>
      <c r="I34" s="129"/>
      <c r="J34" s="129"/>
      <c r="K34" s="127"/>
      <c r="L34" s="129">
        <f>D34</f>
        <v>252</v>
      </c>
      <c r="M34" s="127"/>
      <c r="N34" s="129"/>
      <c r="O34" s="129"/>
      <c r="P34" s="129"/>
      <c r="Q34" s="129"/>
      <c r="R34" s="129"/>
      <c r="S34" s="129"/>
      <c r="T34" s="240"/>
      <c r="U34" s="240"/>
      <c r="V34" s="240"/>
      <c r="W34" s="129">
        <v>42</v>
      </c>
      <c r="X34" s="361"/>
      <c r="Y34" s="134"/>
    </row>
    <row r="35" spans="1:25" x14ac:dyDescent="0.2">
      <c r="A35" s="126">
        <v>45904</v>
      </c>
      <c r="B35" s="118" t="s">
        <v>241</v>
      </c>
      <c r="C35" s="118"/>
      <c r="D35" s="125">
        <v>35.9</v>
      </c>
      <c r="E35" s="125"/>
      <c r="F35" s="127" t="s">
        <v>242</v>
      </c>
      <c r="G35" s="127"/>
      <c r="H35" s="129"/>
      <c r="I35" s="129"/>
      <c r="J35" s="129"/>
      <c r="K35" s="127"/>
      <c r="L35" s="129">
        <f>D35</f>
        <v>35.9</v>
      </c>
      <c r="M35" s="127"/>
      <c r="N35" s="129"/>
      <c r="O35" s="129"/>
      <c r="P35" s="129"/>
      <c r="Q35" s="129"/>
      <c r="R35" s="129"/>
      <c r="S35" s="129"/>
      <c r="T35" s="241"/>
      <c r="U35" s="240"/>
      <c r="V35" s="240"/>
      <c r="W35" s="129"/>
      <c r="X35" s="361"/>
    </row>
    <row r="36" spans="1:25" x14ac:dyDescent="0.2">
      <c r="A36" s="126">
        <v>45904</v>
      </c>
      <c r="B36" s="118" t="s">
        <v>279</v>
      </c>
      <c r="C36" s="118"/>
      <c r="D36" s="125">
        <v>6</v>
      </c>
      <c r="E36" s="125"/>
      <c r="F36" s="127" t="s">
        <v>242</v>
      </c>
      <c r="G36" s="127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241">
        <f>D36</f>
        <v>6</v>
      </c>
      <c r="U36" s="240"/>
      <c r="V36" s="240"/>
      <c r="W36" s="125"/>
      <c r="X36" s="361"/>
    </row>
    <row r="37" spans="1:25" x14ac:dyDescent="0.2">
      <c r="A37" s="126">
        <v>45925</v>
      </c>
      <c r="B37" s="118" t="s">
        <v>273</v>
      </c>
      <c r="C37" s="118"/>
      <c r="D37" s="125">
        <v>1504.62</v>
      </c>
      <c r="E37" s="125"/>
      <c r="F37" s="127">
        <v>25</v>
      </c>
      <c r="G37" s="127"/>
      <c r="H37" s="125"/>
      <c r="I37" s="129"/>
      <c r="J37" s="129"/>
      <c r="K37" s="129">
        <f>D37</f>
        <v>1504.62</v>
      </c>
      <c r="L37" s="129"/>
      <c r="M37" s="127"/>
      <c r="N37" s="129"/>
      <c r="O37" s="129"/>
      <c r="P37" s="129"/>
      <c r="Q37" s="129"/>
      <c r="R37" s="129"/>
      <c r="S37" s="129"/>
      <c r="T37" s="240"/>
      <c r="U37" s="240"/>
      <c r="V37" s="240"/>
      <c r="W37" s="129"/>
      <c r="X37" s="361"/>
    </row>
    <row r="38" spans="1:25" x14ac:dyDescent="0.2">
      <c r="A38" s="126">
        <v>45937</v>
      </c>
      <c r="B38" s="118" t="s">
        <v>241</v>
      </c>
      <c r="C38" s="118"/>
      <c r="D38" s="125">
        <v>35.9</v>
      </c>
      <c r="E38" s="125"/>
      <c r="F38" s="127" t="s">
        <v>242</v>
      </c>
      <c r="G38" s="127"/>
      <c r="H38" s="129"/>
      <c r="I38" s="129"/>
      <c r="J38" s="129"/>
      <c r="K38" s="127"/>
      <c r="L38" s="129">
        <f>D38</f>
        <v>35.9</v>
      </c>
      <c r="M38" s="127"/>
      <c r="N38" s="129"/>
      <c r="O38" s="129"/>
      <c r="P38" s="129"/>
      <c r="Q38" s="129"/>
      <c r="R38" s="129"/>
      <c r="S38" s="129"/>
      <c r="T38" s="241"/>
      <c r="U38" s="240"/>
      <c r="V38" s="240"/>
      <c r="W38" s="129"/>
      <c r="X38" s="361"/>
    </row>
    <row r="39" spans="1:25" x14ac:dyDescent="0.2">
      <c r="A39" s="126">
        <v>45937</v>
      </c>
      <c r="B39" s="118" t="s">
        <v>236</v>
      </c>
      <c r="C39" s="118"/>
      <c r="D39" s="125">
        <v>479.59</v>
      </c>
      <c r="E39" s="125"/>
      <c r="F39" s="127">
        <v>26</v>
      </c>
      <c r="G39" s="127"/>
      <c r="H39" s="125">
        <f>D39</f>
        <v>479.59</v>
      </c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241"/>
      <c r="U39" s="240"/>
      <c r="V39" s="240"/>
      <c r="W39" s="125"/>
      <c r="X39" s="361"/>
    </row>
    <row r="40" spans="1:25" x14ac:dyDescent="0.2">
      <c r="A40" s="126">
        <v>45937</v>
      </c>
      <c r="B40" s="118" t="s">
        <v>274</v>
      </c>
      <c r="C40" s="118"/>
      <c r="D40" s="125">
        <v>900</v>
      </c>
      <c r="E40" s="125"/>
      <c r="F40" s="127">
        <v>27</v>
      </c>
      <c r="G40" s="127"/>
      <c r="H40" s="125"/>
      <c r="I40" s="125"/>
      <c r="J40" s="125"/>
      <c r="K40" s="125"/>
      <c r="L40" s="125"/>
      <c r="M40" s="125"/>
      <c r="N40" s="125"/>
      <c r="O40" s="129"/>
      <c r="P40" s="125"/>
      <c r="Q40" s="125"/>
      <c r="R40" s="125"/>
      <c r="S40" s="125">
        <f>D40</f>
        <v>900</v>
      </c>
      <c r="T40" s="240"/>
      <c r="U40" s="241"/>
      <c r="V40" s="240"/>
      <c r="W40" s="138"/>
      <c r="X40" s="361"/>
    </row>
    <row r="41" spans="1:25" x14ac:dyDescent="0.2">
      <c r="A41" s="126">
        <v>45937</v>
      </c>
      <c r="B41" s="118" t="s">
        <v>275</v>
      </c>
      <c r="C41" s="118"/>
      <c r="D41" s="125">
        <v>50</v>
      </c>
      <c r="E41" s="125"/>
      <c r="F41" s="127">
        <v>28</v>
      </c>
      <c r="G41" s="127"/>
      <c r="H41" s="129"/>
      <c r="I41" s="129"/>
      <c r="J41" s="129"/>
      <c r="K41" s="127"/>
      <c r="L41" s="129"/>
      <c r="M41" s="127"/>
      <c r="N41" s="129"/>
      <c r="O41" s="129">
        <f>D41</f>
        <v>50</v>
      </c>
      <c r="P41" s="129"/>
      <c r="Q41" s="129"/>
      <c r="R41" s="129"/>
      <c r="S41" s="129"/>
      <c r="T41" s="241"/>
      <c r="U41" s="240"/>
      <c r="V41" s="240"/>
      <c r="W41" s="129"/>
      <c r="X41" s="361"/>
    </row>
    <row r="42" spans="1:25" x14ac:dyDescent="0.2">
      <c r="A42" s="126">
        <v>45937</v>
      </c>
      <c r="B42" s="118" t="s">
        <v>276</v>
      </c>
      <c r="C42" s="118"/>
      <c r="D42" s="125">
        <v>2946</v>
      </c>
      <c r="E42" s="125"/>
      <c r="F42" s="127">
        <v>29</v>
      </c>
      <c r="G42" s="127"/>
      <c r="H42" s="129"/>
      <c r="I42" s="129"/>
      <c r="J42" s="129"/>
      <c r="K42" s="127"/>
      <c r="L42" s="129"/>
      <c r="M42" s="127"/>
      <c r="N42" s="129"/>
      <c r="O42" s="129"/>
      <c r="P42" s="129"/>
      <c r="Q42" s="129"/>
      <c r="R42" s="129"/>
      <c r="S42" s="129"/>
      <c r="T42" s="240"/>
      <c r="U42" s="241">
        <f>D42</f>
        <v>2946</v>
      </c>
      <c r="V42" s="240"/>
      <c r="W42" s="129"/>
      <c r="X42" s="361"/>
    </row>
    <row r="43" spans="1:25" x14ac:dyDescent="0.2">
      <c r="A43" s="126">
        <v>45937</v>
      </c>
      <c r="B43" s="296" t="s">
        <v>277</v>
      </c>
      <c r="C43" s="118"/>
      <c r="D43" s="125">
        <v>505.64</v>
      </c>
      <c r="E43" s="241"/>
      <c r="F43" s="127">
        <v>30</v>
      </c>
      <c r="G43" s="127"/>
      <c r="H43" s="125"/>
      <c r="I43" s="125"/>
      <c r="J43" s="125"/>
      <c r="K43" s="125"/>
      <c r="L43" s="125"/>
      <c r="M43" s="125"/>
      <c r="N43" s="129"/>
      <c r="O43" s="129"/>
      <c r="P43" s="125"/>
      <c r="Q43" s="125"/>
      <c r="R43" s="129"/>
      <c r="S43" s="129"/>
      <c r="T43" s="241"/>
      <c r="U43" s="241">
        <f>D43</f>
        <v>505.64</v>
      </c>
      <c r="V43" s="240"/>
      <c r="W43" s="129"/>
      <c r="X43" s="361"/>
    </row>
    <row r="44" spans="1:25" x14ac:dyDescent="0.2">
      <c r="A44" s="126">
        <v>45937</v>
      </c>
      <c r="B44" s="118" t="s">
        <v>280</v>
      </c>
      <c r="C44" s="118"/>
      <c r="D44" s="125">
        <v>6</v>
      </c>
      <c r="E44" s="125"/>
      <c r="F44" s="127" t="s">
        <v>242</v>
      </c>
      <c r="G44" s="127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241">
        <f>D44</f>
        <v>6</v>
      </c>
      <c r="U44" s="240"/>
      <c r="V44" s="240"/>
      <c r="W44" s="125"/>
      <c r="X44" s="361"/>
    </row>
    <row r="45" spans="1:25" x14ac:dyDescent="0.2">
      <c r="A45" s="126">
        <v>45966</v>
      </c>
      <c r="B45" s="118" t="s">
        <v>241</v>
      </c>
      <c r="C45" s="118"/>
      <c r="D45" s="125">
        <v>35.9</v>
      </c>
      <c r="E45" s="125"/>
      <c r="F45" s="127" t="s">
        <v>242</v>
      </c>
      <c r="G45" s="127"/>
      <c r="H45" s="129"/>
      <c r="I45" s="129"/>
      <c r="J45" s="129"/>
      <c r="K45" s="127"/>
      <c r="L45" s="129">
        <f>D45</f>
        <v>35.9</v>
      </c>
      <c r="M45" s="127"/>
      <c r="N45" s="129"/>
      <c r="O45" s="129"/>
      <c r="P45" s="129"/>
      <c r="Q45" s="129"/>
      <c r="R45" s="129"/>
      <c r="S45" s="129"/>
      <c r="T45" s="241"/>
      <c r="U45" s="240"/>
      <c r="V45" s="240"/>
      <c r="W45" s="129"/>
      <c r="X45" s="361"/>
    </row>
    <row r="46" spans="1:25" x14ac:dyDescent="0.2">
      <c r="A46" s="126">
        <v>45966</v>
      </c>
      <c r="B46" s="118" t="s">
        <v>236</v>
      </c>
      <c r="C46" s="118"/>
      <c r="D46" s="125">
        <v>603.89</v>
      </c>
      <c r="E46" s="125"/>
      <c r="F46" s="127">
        <v>31</v>
      </c>
      <c r="G46" s="127"/>
      <c r="H46" s="125">
        <f>D46</f>
        <v>603.89</v>
      </c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241"/>
      <c r="U46" s="240"/>
      <c r="V46" s="240"/>
      <c r="W46" s="125"/>
      <c r="X46" s="361"/>
    </row>
    <row r="47" spans="1:25" x14ac:dyDescent="0.2">
      <c r="A47" s="126">
        <v>45966</v>
      </c>
      <c r="B47" s="118" t="s">
        <v>282</v>
      </c>
      <c r="C47" s="137"/>
      <c r="D47" s="125">
        <v>40</v>
      </c>
      <c r="E47" s="125"/>
      <c r="F47" s="139">
        <v>32</v>
      </c>
      <c r="G47" s="139"/>
      <c r="H47" s="129"/>
      <c r="I47" s="129"/>
      <c r="J47" s="129"/>
      <c r="K47" s="127"/>
      <c r="L47" s="129"/>
      <c r="M47" s="127"/>
      <c r="N47" s="129"/>
      <c r="O47" s="129"/>
      <c r="P47" s="129"/>
      <c r="Q47" s="129">
        <f>D47</f>
        <v>40</v>
      </c>
      <c r="R47" s="129"/>
      <c r="S47" s="129"/>
      <c r="T47" s="241"/>
      <c r="U47" s="240"/>
      <c r="V47" s="240"/>
      <c r="W47" s="129"/>
      <c r="X47" s="361"/>
    </row>
    <row r="48" spans="1:25" x14ac:dyDescent="0.2">
      <c r="A48" s="126">
        <v>45966</v>
      </c>
      <c r="B48" s="405" t="s">
        <v>283</v>
      </c>
      <c r="C48" s="240"/>
      <c r="D48" s="396">
        <v>175</v>
      </c>
      <c r="E48" s="125"/>
      <c r="F48" s="139">
        <v>33</v>
      </c>
      <c r="G48" s="139"/>
      <c r="H48" s="129"/>
      <c r="I48" s="129"/>
      <c r="J48" s="129"/>
      <c r="K48" s="127"/>
      <c r="L48" s="129"/>
      <c r="M48" s="127"/>
      <c r="N48" s="129"/>
      <c r="O48" s="129">
        <f>D48</f>
        <v>175</v>
      </c>
      <c r="P48" s="129"/>
      <c r="Q48" s="129"/>
      <c r="R48" s="129"/>
      <c r="S48" s="129"/>
      <c r="T48" s="241"/>
      <c r="U48" s="240"/>
      <c r="V48" s="240"/>
      <c r="W48" s="129"/>
      <c r="X48" s="361"/>
    </row>
    <row r="49" spans="1:24" x14ac:dyDescent="0.2">
      <c r="A49" s="126">
        <v>45966</v>
      </c>
      <c r="B49" s="405" t="s">
        <v>284</v>
      </c>
      <c r="C49" s="240"/>
      <c r="D49" s="396">
        <v>175</v>
      </c>
      <c r="E49" s="125"/>
      <c r="F49" s="139">
        <f>F48+1</f>
        <v>34</v>
      </c>
      <c r="G49" s="139">
        <v>300013</v>
      </c>
      <c r="H49" s="129"/>
      <c r="I49" s="129"/>
      <c r="J49" s="129"/>
      <c r="K49" s="127"/>
      <c r="L49" s="129"/>
      <c r="M49" s="127"/>
      <c r="N49" s="129"/>
      <c r="O49" s="129">
        <f t="shared" ref="O49:O57" si="0">D49</f>
        <v>175</v>
      </c>
      <c r="P49" s="129"/>
      <c r="Q49" s="129"/>
      <c r="R49" s="129"/>
      <c r="S49" s="129"/>
      <c r="T49" s="241"/>
      <c r="U49" s="240"/>
      <c r="V49" s="240"/>
      <c r="W49" s="129"/>
      <c r="X49" s="361"/>
    </row>
    <row r="50" spans="1:24" x14ac:dyDescent="0.2">
      <c r="A50" s="126">
        <v>45966</v>
      </c>
      <c r="B50" s="405" t="s">
        <v>285</v>
      </c>
      <c r="C50" s="240"/>
      <c r="D50" s="396">
        <v>175</v>
      </c>
      <c r="E50" s="125"/>
      <c r="F50" s="139">
        <f t="shared" ref="F50:G57" si="1">F49+1</f>
        <v>35</v>
      </c>
      <c r="G50" s="139">
        <f>G49+1</f>
        <v>300014</v>
      </c>
      <c r="H50" s="129"/>
      <c r="I50" s="129"/>
      <c r="J50" s="129"/>
      <c r="K50" s="127"/>
      <c r="L50" s="129"/>
      <c r="M50" s="127"/>
      <c r="N50" s="129"/>
      <c r="O50" s="129">
        <f t="shared" si="0"/>
        <v>175</v>
      </c>
      <c r="P50" s="129"/>
      <c r="Q50" s="129"/>
      <c r="R50" s="129"/>
      <c r="S50" s="129"/>
      <c r="T50" s="241"/>
      <c r="U50" s="240"/>
      <c r="V50" s="240"/>
      <c r="W50" s="129"/>
      <c r="X50" s="361"/>
    </row>
    <row r="51" spans="1:24" x14ac:dyDescent="0.2">
      <c r="A51" s="126">
        <v>45966</v>
      </c>
      <c r="B51" s="405" t="s">
        <v>286</v>
      </c>
      <c r="C51" s="240"/>
      <c r="D51" s="241">
        <v>175</v>
      </c>
      <c r="F51" s="139">
        <f t="shared" si="1"/>
        <v>36</v>
      </c>
      <c r="G51" s="139"/>
      <c r="H51" s="129"/>
      <c r="I51" s="129"/>
      <c r="J51" s="129"/>
      <c r="K51" s="127"/>
      <c r="L51" s="129"/>
      <c r="M51" s="129"/>
      <c r="N51" s="129"/>
      <c r="O51" s="129">
        <f t="shared" si="0"/>
        <v>175</v>
      </c>
      <c r="P51" s="129"/>
      <c r="Q51" s="129"/>
      <c r="R51" s="129"/>
      <c r="S51" s="129"/>
      <c r="T51" s="241"/>
      <c r="U51" s="240"/>
      <c r="V51" s="240"/>
      <c r="W51" s="129"/>
      <c r="X51" s="361"/>
    </row>
    <row r="52" spans="1:24" x14ac:dyDescent="0.2">
      <c r="A52" s="126">
        <v>45966</v>
      </c>
      <c r="B52" s="405" t="s">
        <v>287</v>
      </c>
      <c r="C52" s="240"/>
      <c r="D52" s="396">
        <v>175</v>
      </c>
      <c r="E52" s="125"/>
      <c r="F52" s="139">
        <f t="shared" si="1"/>
        <v>37</v>
      </c>
      <c r="G52" s="139"/>
      <c r="H52" s="129"/>
      <c r="I52" s="129"/>
      <c r="J52" s="129"/>
      <c r="K52" s="127"/>
      <c r="L52" s="129"/>
      <c r="M52" s="127"/>
      <c r="N52" s="129"/>
      <c r="O52" s="129">
        <f t="shared" si="0"/>
        <v>175</v>
      </c>
      <c r="P52" s="129"/>
      <c r="Q52" s="129"/>
      <c r="R52" s="129"/>
      <c r="S52" s="129"/>
      <c r="T52" s="241"/>
      <c r="U52" s="240"/>
      <c r="V52" s="240"/>
      <c r="W52" s="129"/>
      <c r="X52" s="361"/>
    </row>
    <row r="53" spans="1:24" x14ac:dyDescent="0.2">
      <c r="A53" s="126">
        <v>45966</v>
      </c>
      <c r="B53" s="405" t="s">
        <v>288</v>
      </c>
      <c r="C53" s="240"/>
      <c r="D53" s="396">
        <v>175</v>
      </c>
      <c r="E53" s="125"/>
      <c r="F53" s="139">
        <f t="shared" si="1"/>
        <v>38</v>
      </c>
      <c r="G53" s="139">
        <f>G50+1</f>
        <v>300015</v>
      </c>
      <c r="H53" s="129"/>
      <c r="I53" s="129"/>
      <c r="J53" s="129"/>
      <c r="K53" s="127"/>
      <c r="L53" s="129"/>
      <c r="M53" s="127"/>
      <c r="N53" s="129"/>
      <c r="O53" s="129">
        <f t="shared" si="0"/>
        <v>175</v>
      </c>
      <c r="P53" s="129"/>
      <c r="Q53" s="129"/>
      <c r="R53" s="129"/>
      <c r="S53" s="129"/>
      <c r="T53" s="241"/>
      <c r="U53" s="240"/>
      <c r="V53" s="240"/>
      <c r="W53" s="129"/>
      <c r="X53" s="361"/>
    </row>
    <row r="54" spans="1:24" x14ac:dyDescent="0.2">
      <c r="A54" s="126">
        <v>45966</v>
      </c>
      <c r="B54" s="405" t="s">
        <v>289</v>
      </c>
      <c r="C54" s="240"/>
      <c r="D54" s="396">
        <v>175</v>
      </c>
      <c r="E54" s="125"/>
      <c r="F54" s="139">
        <f t="shared" si="1"/>
        <v>39</v>
      </c>
      <c r="G54" s="139">
        <f>G53+1</f>
        <v>300016</v>
      </c>
      <c r="H54" s="129"/>
      <c r="I54" s="129"/>
      <c r="J54" s="129"/>
      <c r="K54" s="127"/>
      <c r="L54" s="129"/>
      <c r="M54" s="127"/>
      <c r="N54" s="129"/>
      <c r="O54" s="129">
        <f t="shared" si="0"/>
        <v>175</v>
      </c>
      <c r="P54" s="129"/>
      <c r="Q54" s="129"/>
      <c r="R54" s="129"/>
      <c r="S54" s="129"/>
      <c r="T54" s="241"/>
      <c r="U54" s="240"/>
      <c r="V54" s="240"/>
      <c r="W54" s="129"/>
      <c r="X54" s="361"/>
    </row>
    <row r="55" spans="1:24" x14ac:dyDescent="0.2">
      <c r="A55" s="126">
        <v>45966</v>
      </c>
      <c r="B55" s="405" t="s">
        <v>290</v>
      </c>
      <c r="C55" s="406"/>
      <c r="D55" s="396">
        <v>175</v>
      </c>
      <c r="E55" s="125"/>
      <c r="F55" s="139">
        <f t="shared" si="1"/>
        <v>40</v>
      </c>
      <c r="G55" s="139">
        <f t="shared" si="1"/>
        <v>300017</v>
      </c>
      <c r="H55" s="129"/>
      <c r="I55" s="129"/>
      <c r="J55" s="129"/>
      <c r="K55" s="129"/>
      <c r="L55" s="129"/>
      <c r="M55" s="129"/>
      <c r="N55" s="129"/>
      <c r="O55" s="129">
        <f t="shared" si="0"/>
        <v>175</v>
      </c>
      <c r="P55" s="129"/>
      <c r="Q55" s="129"/>
      <c r="R55" s="129"/>
      <c r="S55" s="129"/>
      <c r="T55" s="241"/>
      <c r="U55" s="240"/>
      <c r="V55" s="240"/>
      <c r="W55" s="129"/>
      <c r="X55" s="361"/>
    </row>
    <row r="56" spans="1:24" x14ac:dyDescent="0.2">
      <c r="A56" s="126">
        <v>45966</v>
      </c>
      <c r="B56" s="405" t="s">
        <v>291</v>
      </c>
      <c r="C56" s="406"/>
      <c r="D56" s="396">
        <v>175</v>
      </c>
      <c r="E56" s="125"/>
      <c r="F56" s="139">
        <f t="shared" si="1"/>
        <v>41</v>
      </c>
      <c r="G56" s="139">
        <f t="shared" si="1"/>
        <v>300018</v>
      </c>
      <c r="H56" s="125"/>
      <c r="I56" s="129"/>
      <c r="J56" s="129"/>
      <c r="K56" s="127"/>
      <c r="L56" s="129"/>
      <c r="M56" s="129"/>
      <c r="N56" s="129"/>
      <c r="O56" s="129">
        <f t="shared" si="0"/>
        <v>175</v>
      </c>
      <c r="P56" s="129"/>
      <c r="Q56" s="129"/>
      <c r="R56" s="129"/>
      <c r="S56" s="129"/>
      <c r="T56" s="241"/>
      <c r="U56" s="240"/>
      <c r="V56" s="240"/>
      <c r="W56" s="129"/>
      <c r="X56" s="361"/>
    </row>
    <row r="57" spans="1:24" x14ac:dyDescent="0.2">
      <c r="A57" s="126">
        <v>45966</v>
      </c>
      <c r="B57" s="405" t="s">
        <v>292</v>
      </c>
      <c r="C57" s="406"/>
      <c r="D57" s="396">
        <v>175</v>
      </c>
      <c r="E57" s="125"/>
      <c r="F57" s="139">
        <f t="shared" si="1"/>
        <v>42</v>
      </c>
      <c r="G57" s="139"/>
      <c r="H57" s="129"/>
      <c r="I57" s="129"/>
      <c r="J57" s="129"/>
      <c r="K57" s="127"/>
      <c r="L57" s="129"/>
      <c r="M57" s="127"/>
      <c r="N57" s="129"/>
      <c r="O57" s="129">
        <f t="shared" si="0"/>
        <v>175</v>
      </c>
      <c r="P57" s="129"/>
      <c r="Q57" s="129"/>
      <c r="R57" s="129"/>
      <c r="S57" s="129"/>
      <c r="T57" s="241"/>
      <c r="U57" s="240"/>
      <c r="V57" s="240"/>
      <c r="W57" s="129"/>
      <c r="X57" s="361"/>
    </row>
    <row r="58" spans="1:24" x14ac:dyDescent="0.2">
      <c r="A58" s="126">
        <v>45966</v>
      </c>
      <c r="B58" s="118" t="s">
        <v>255</v>
      </c>
      <c r="D58" s="409">
        <v>3584.09</v>
      </c>
      <c r="E58" s="125"/>
      <c r="F58" s="139">
        <v>43</v>
      </c>
      <c r="G58" s="139"/>
      <c r="H58" s="129"/>
      <c r="I58" s="129"/>
      <c r="J58" s="129"/>
      <c r="K58" s="127"/>
      <c r="L58" s="129"/>
      <c r="M58" s="127"/>
      <c r="N58" s="129"/>
      <c r="O58" s="129"/>
      <c r="P58" s="129"/>
      <c r="Q58" s="129"/>
      <c r="R58" s="129"/>
      <c r="S58" s="129">
        <f>D58</f>
        <v>3584.09</v>
      </c>
      <c r="T58" s="241"/>
      <c r="U58" s="240"/>
      <c r="V58" s="240"/>
      <c r="W58" s="129"/>
      <c r="X58" s="361"/>
    </row>
    <row r="59" spans="1:24" x14ac:dyDescent="0.2">
      <c r="A59" s="126">
        <v>45966</v>
      </c>
      <c r="B59" s="118" t="s">
        <v>296</v>
      </c>
      <c r="C59" s="118"/>
      <c r="D59" s="125">
        <v>6</v>
      </c>
      <c r="E59" s="125"/>
      <c r="F59" s="127" t="s">
        <v>242</v>
      </c>
      <c r="G59" s="127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241">
        <f>D59</f>
        <v>6</v>
      </c>
      <c r="U59" s="240"/>
      <c r="V59" s="240"/>
      <c r="W59" s="125"/>
      <c r="X59" s="361"/>
    </row>
    <row r="60" spans="1:24" x14ac:dyDescent="0.2">
      <c r="A60" s="126">
        <v>46001</v>
      </c>
      <c r="B60" s="118" t="s">
        <v>294</v>
      </c>
      <c r="C60" s="137"/>
      <c r="D60" s="125">
        <v>576</v>
      </c>
      <c r="E60" s="125"/>
      <c r="F60" s="139">
        <v>44</v>
      </c>
      <c r="G60" s="139"/>
      <c r="H60" s="129"/>
      <c r="I60" s="129"/>
      <c r="J60" s="129"/>
      <c r="K60" s="127"/>
      <c r="L60" s="129"/>
      <c r="M60" s="127"/>
      <c r="N60" s="129"/>
      <c r="O60" s="129"/>
      <c r="P60" s="129"/>
      <c r="Q60" s="129">
        <f>D60</f>
        <v>576</v>
      </c>
      <c r="R60" s="129"/>
      <c r="S60" s="129"/>
      <c r="T60" s="241"/>
      <c r="U60" s="240"/>
      <c r="V60" s="240"/>
      <c r="W60" s="129"/>
      <c r="X60" s="361"/>
    </row>
    <row r="61" spans="1:24" x14ac:dyDescent="0.2">
      <c r="A61" s="203"/>
      <c r="B61" s="204" t="s">
        <v>9</v>
      </c>
      <c r="C61" s="204"/>
      <c r="D61" s="205">
        <f>SUM(D2:D60)</f>
        <v>35046.550000000003</v>
      </c>
      <c r="E61" s="205">
        <f>SUM(E2:E60)</f>
        <v>0</v>
      </c>
      <c r="F61" s="205"/>
      <c r="G61" s="205"/>
      <c r="H61" s="205">
        <f t="shared" ref="H61:X61" si="2">SUM(H2:H60)</f>
        <v>4843.9800000000005</v>
      </c>
      <c r="I61" s="205">
        <f t="shared" si="2"/>
        <v>541.16999999999996</v>
      </c>
      <c r="J61" s="205">
        <f t="shared" si="2"/>
        <v>0</v>
      </c>
      <c r="K61" s="205">
        <f t="shared" si="2"/>
        <v>1504.62</v>
      </c>
      <c r="L61" s="205">
        <f t="shared" si="2"/>
        <v>961.19999999999993</v>
      </c>
      <c r="M61" s="205">
        <f t="shared" si="2"/>
        <v>176.8</v>
      </c>
      <c r="N61" s="205">
        <f t="shared" si="2"/>
        <v>0</v>
      </c>
      <c r="O61" s="205">
        <f t="shared" si="2"/>
        <v>1800</v>
      </c>
      <c r="P61" s="205">
        <f t="shared" si="2"/>
        <v>0</v>
      </c>
      <c r="Q61" s="205">
        <f t="shared" si="2"/>
        <v>851</v>
      </c>
      <c r="R61" s="205">
        <f t="shared" si="2"/>
        <v>0</v>
      </c>
      <c r="S61" s="205">
        <f t="shared" si="2"/>
        <v>15442.58</v>
      </c>
      <c r="T61" s="205">
        <f t="shared" si="2"/>
        <v>42</v>
      </c>
      <c r="U61" s="205">
        <f t="shared" si="2"/>
        <v>8883.1999999999989</v>
      </c>
      <c r="V61" s="205">
        <f t="shared" si="2"/>
        <v>0</v>
      </c>
      <c r="W61" s="205">
        <f t="shared" si="2"/>
        <v>89.72</v>
      </c>
      <c r="X61" s="363">
        <f t="shared" si="2"/>
        <v>0</v>
      </c>
    </row>
    <row r="62" spans="1:24" x14ac:dyDescent="0.2">
      <c r="A62" s="200"/>
      <c r="B62" s="201"/>
      <c r="C62" s="201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2"/>
      <c r="P62" s="202"/>
      <c r="Q62" s="202"/>
      <c r="R62" s="202"/>
      <c r="S62" s="202"/>
      <c r="T62" s="202"/>
      <c r="U62" s="202"/>
      <c r="V62" s="202"/>
      <c r="W62" s="202"/>
      <c r="X62" s="365"/>
    </row>
    <row r="63" spans="1:24" x14ac:dyDescent="0.2">
      <c r="A63" s="206"/>
      <c r="B63" s="204" t="s">
        <v>10</v>
      </c>
      <c r="C63" s="204" t="s">
        <v>3</v>
      </c>
      <c r="D63" s="205">
        <f>SUM(D2:D60)</f>
        <v>35046.550000000003</v>
      </c>
      <c r="E63" s="205">
        <f>SUM(E2:E60)</f>
        <v>0</v>
      </c>
      <c r="F63" s="205"/>
      <c r="G63" s="205"/>
      <c r="H63" s="205">
        <f t="shared" ref="H63:X63" si="3">SUM(H2:H60)</f>
        <v>4843.9800000000005</v>
      </c>
      <c r="I63" s="205">
        <f t="shared" si="3"/>
        <v>541.16999999999996</v>
      </c>
      <c r="J63" s="205">
        <f t="shared" si="3"/>
        <v>0</v>
      </c>
      <c r="K63" s="205">
        <f t="shared" si="3"/>
        <v>1504.62</v>
      </c>
      <c r="L63" s="205">
        <f t="shared" si="3"/>
        <v>961.19999999999993</v>
      </c>
      <c r="M63" s="205">
        <f t="shared" si="3"/>
        <v>176.8</v>
      </c>
      <c r="N63" s="205">
        <f t="shared" si="3"/>
        <v>0</v>
      </c>
      <c r="O63" s="205">
        <f t="shared" si="3"/>
        <v>1800</v>
      </c>
      <c r="P63" s="205">
        <f t="shared" si="3"/>
        <v>0</v>
      </c>
      <c r="Q63" s="205">
        <f t="shared" si="3"/>
        <v>851</v>
      </c>
      <c r="R63" s="205">
        <f t="shared" si="3"/>
        <v>0</v>
      </c>
      <c r="S63" s="205">
        <f t="shared" si="3"/>
        <v>15442.58</v>
      </c>
      <c r="T63" s="205">
        <f t="shared" si="3"/>
        <v>42</v>
      </c>
      <c r="U63" s="205">
        <f t="shared" si="3"/>
        <v>8883.1999999999989</v>
      </c>
      <c r="V63" s="205">
        <f t="shared" si="3"/>
        <v>0</v>
      </c>
      <c r="W63" s="205">
        <f t="shared" si="3"/>
        <v>89.72</v>
      </c>
      <c r="X63" s="363">
        <f t="shared" si="3"/>
        <v>0</v>
      </c>
    </row>
    <row r="64" spans="1:24" x14ac:dyDescent="0.2">
      <c r="A64" s="126">
        <v>46001</v>
      </c>
      <c r="B64" s="296" t="s">
        <v>252</v>
      </c>
      <c r="C64" s="137"/>
      <c r="D64" s="125">
        <v>502.48</v>
      </c>
      <c r="E64" s="125"/>
      <c r="F64" s="139">
        <v>45</v>
      </c>
      <c r="G64" s="139"/>
      <c r="H64" s="129">
        <f>D64</f>
        <v>502.48</v>
      </c>
      <c r="I64" s="129"/>
      <c r="J64" s="129"/>
      <c r="K64" s="127"/>
      <c r="L64" s="129"/>
      <c r="M64" s="127"/>
      <c r="N64" s="129"/>
      <c r="O64" s="129"/>
      <c r="P64" s="129"/>
      <c r="Q64" s="129"/>
      <c r="R64" s="129"/>
      <c r="S64" s="129"/>
      <c r="T64" s="241"/>
      <c r="U64" s="240"/>
      <c r="V64" s="240"/>
      <c r="W64" s="129"/>
      <c r="X64" s="361"/>
    </row>
    <row r="65" spans="1:24" x14ac:dyDescent="0.2">
      <c r="A65" s="126">
        <v>46001</v>
      </c>
      <c r="B65" s="118" t="s">
        <v>236</v>
      </c>
      <c r="D65" s="409">
        <v>495.2</v>
      </c>
      <c r="E65" s="125"/>
      <c r="F65" s="139">
        <v>46</v>
      </c>
      <c r="G65" s="139"/>
      <c r="H65" s="129">
        <f>D65</f>
        <v>495.2</v>
      </c>
      <c r="I65" s="129"/>
      <c r="J65" s="129"/>
      <c r="K65" s="127"/>
      <c r="L65" s="129"/>
      <c r="M65" s="127"/>
      <c r="N65" s="129"/>
      <c r="O65" s="129"/>
      <c r="P65" s="129"/>
      <c r="Q65" s="129"/>
      <c r="R65" s="129"/>
      <c r="S65" s="129"/>
      <c r="T65" s="241"/>
      <c r="U65" s="240"/>
      <c r="V65" s="240"/>
      <c r="W65" s="129"/>
      <c r="X65" s="361"/>
    </row>
    <row r="66" spans="1:24" x14ac:dyDescent="0.2">
      <c r="A66" s="126">
        <v>46001</v>
      </c>
      <c r="B66" s="118" t="s">
        <v>295</v>
      </c>
      <c r="C66" s="137"/>
      <c r="D66" s="125">
        <v>66.37</v>
      </c>
      <c r="E66" s="125"/>
      <c r="F66" s="139">
        <v>47</v>
      </c>
      <c r="G66" s="139"/>
      <c r="H66" s="129"/>
      <c r="I66" s="129"/>
      <c r="J66" s="129"/>
      <c r="K66" s="127"/>
      <c r="L66" s="129"/>
      <c r="M66" s="129">
        <f>D66</f>
        <v>66.37</v>
      </c>
      <c r="N66" s="129"/>
      <c r="O66" s="129"/>
      <c r="P66" s="129"/>
      <c r="Q66" s="129"/>
      <c r="R66" s="129"/>
      <c r="S66" s="129"/>
      <c r="T66" s="241"/>
      <c r="U66" s="240"/>
      <c r="V66" s="240"/>
      <c r="W66" s="129"/>
      <c r="X66" s="361"/>
    </row>
    <row r="67" spans="1:24" x14ac:dyDescent="0.2">
      <c r="A67" s="126">
        <v>46001</v>
      </c>
      <c r="B67" s="118" t="s">
        <v>297</v>
      </c>
      <c r="C67" s="118"/>
      <c r="D67" s="125">
        <v>6</v>
      </c>
      <c r="E67" s="125"/>
      <c r="F67" s="127" t="s">
        <v>242</v>
      </c>
      <c r="G67" s="127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241">
        <f>D67</f>
        <v>6</v>
      </c>
      <c r="U67" s="240"/>
      <c r="V67" s="240"/>
      <c r="W67" s="125"/>
      <c r="X67" s="361"/>
    </row>
    <row r="68" spans="1:24" x14ac:dyDescent="0.2">
      <c r="A68" s="126">
        <v>46001</v>
      </c>
      <c r="B68" s="118" t="s">
        <v>241</v>
      </c>
      <c r="C68" s="118"/>
      <c r="D68" s="125">
        <v>35.9</v>
      </c>
      <c r="E68" s="125"/>
      <c r="F68" s="127" t="s">
        <v>242</v>
      </c>
      <c r="G68" s="127"/>
      <c r="H68" s="129"/>
      <c r="I68" s="129"/>
      <c r="J68" s="129"/>
      <c r="K68" s="127"/>
      <c r="L68" s="129">
        <f>D68</f>
        <v>35.9</v>
      </c>
      <c r="M68" s="127"/>
      <c r="N68" s="129"/>
      <c r="O68" s="129"/>
      <c r="P68" s="129"/>
      <c r="Q68" s="129"/>
      <c r="R68" s="129"/>
      <c r="S68" s="129"/>
      <c r="T68" s="241"/>
      <c r="U68" s="240"/>
      <c r="V68" s="240"/>
      <c r="W68" s="129"/>
      <c r="X68" s="361"/>
    </row>
    <row r="69" spans="1:24" x14ac:dyDescent="0.2">
      <c r="A69" s="126">
        <v>46029</v>
      </c>
      <c r="B69" s="118" t="s">
        <v>298</v>
      </c>
      <c r="C69" s="137"/>
      <c r="D69" s="125">
        <v>175</v>
      </c>
      <c r="E69" s="125"/>
      <c r="F69" s="139">
        <v>48</v>
      </c>
      <c r="G69" s="127"/>
      <c r="H69" s="129"/>
      <c r="I69" s="129"/>
      <c r="J69" s="129"/>
      <c r="K69" s="127"/>
      <c r="L69" s="129"/>
      <c r="M69" s="127"/>
      <c r="N69" s="129"/>
      <c r="O69" s="129"/>
      <c r="P69" s="129"/>
      <c r="Q69" s="129">
        <f>D69</f>
        <v>175</v>
      </c>
      <c r="R69" s="129"/>
      <c r="S69" s="129"/>
      <c r="T69" s="240"/>
      <c r="U69" s="241"/>
      <c r="V69" s="240"/>
      <c r="W69" s="129"/>
      <c r="X69" s="361"/>
    </row>
    <row r="70" spans="1:24" x14ac:dyDescent="0.2">
      <c r="A70" s="136">
        <v>46029</v>
      </c>
      <c r="B70" s="410" t="s">
        <v>299</v>
      </c>
      <c r="C70" s="137"/>
      <c r="D70" s="125">
        <v>125</v>
      </c>
      <c r="E70" s="125"/>
      <c r="F70" s="139">
        <v>49</v>
      </c>
      <c r="G70" s="139">
        <f>G56+1</f>
        <v>300019</v>
      </c>
      <c r="H70" s="129"/>
      <c r="I70" s="129"/>
      <c r="J70" s="129"/>
      <c r="K70" s="127"/>
      <c r="L70" s="129"/>
      <c r="M70" s="127"/>
      <c r="N70" s="129"/>
      <c r="O70" s="129">
        <f>D70</f>
        <v>125</v>
      </c>
      <c r="P70" s="129"/>
      <c r="Q70" s="129"/>
      <c r="R70" s="129"/>
      <c r="S70" s="129"/>
      <c r="T70" s="241"/>
      <c r="U70" s="241"/>
      <c r="V70" s="240"/>
      <c r="W70" s="129"/>
      <c r="X70" s="361"/>
    </row>
    <row r="71" spans="1:24" x14ac:dyDescent="0.2">
      <c r="A71" s="126">
        <v>46029</v>
      </c>
      <c r="B71" s="118" t="s">
        <v>236</v>
      </c>
      <c r="D71" s="409">
        <v>495.2</v>
      </c>
      <c r="E71" s="125"/>
      <c r="F71" s="139">
        <v>50</v>
      </c>
      <c r="G71" s="139"/>
      <c r="H71" s="129">
        <f>D71</f>
        <v>495.2</v>
      </c>
      <c r="I71" s="129"/>
      <c r="J71" s="129"/>
      <c r="K71" s="127"/>
      <c r="L71" s="129"/>
      <c r="M71" s="127"/>
      <c r="N71" s="129"/>
      <c r="O71" s="129"/>
      <c r="P71" s="129"/>
      <c r="Q71" s="129"/>
      <c r="R71" s="129"/>
      <c r="S71" s="129"/>
      <c r="T71" s="241"/>
      <c r="U71" s="240"/>
      <c r="V71" s="240"/>
      <c r="W71" s="129"/>
      <c r="X71" s="361"/>
    </row>
    <row r="72" spans="1:24" x14ac:dyDescent="0.2">
      <c r="A72" s="126">
        <v>46029</v>
      </c>
      <c r="B72" s="118" t="s">
        <v>241</v>
      </c>
      <c r="C72" s="118"/>
      <c r="D72" s="125">
        <v>35.9</v>
      </c>
      <c r="E72" s="125"/>
      <c r="F72" s="127" t="s">
        <v>242</v>
      </c>
      <c r="G72" s="127"/>
      <c r="H72" s="129"/>
      <c r="I72" s="129"/>
      <c r="J72" s="129"/>
      <c r="K72" s="127"/>
      <c r="L72" s="129">
        <f>D72</f>
        <v>35.9</v>
      </c>
      <c r="M72" s="127"/>
      <c r="N72" s="129"/>
      <c r="O72" s="129"/>
      <c r="P72" s="129"/>
      <c r="Q72" s="129"/>
      <c r="R72" s="129"/>
      <c r="S72" s="129"/>
      <c r="T72" s="241"/>
      <c r="U72" s="240"/>
      <c r="V72" s="240"/>
      <c r="W72" s="129"/>
      <c r="X72" s="361"/>
    </row>
    <row r="73" spans="1:24" x14ac:dyDescent="0.2">
      <c r="A73" s="126">
        <v>46029</v>
      </c>
      <c r="B73" s="118" t="s">
        <v>300</v>
      </c>
      <c r="C73" s="137"/>
      <c r="D73" s="125">
        <v>150</v>
      </c>
      <c r="E73" s="125"/>
      <c r="F73" s="139">
        <v>51</v>
      </c>
      <c r="G73" s="127"/>
      <c r="H73" s="129"/>
      <c r="I73" s="129"/>
      <c r="J73" s="129"/>
      <c r="K73" s="127"/>
      <c r="L73" s="129"/>
      <c r="M73" s="129"/>
      <c r="N73" s="129"/>
      <c r="O73" s="129"/>
      <c r="P73" s="129"/>
      <c r="Q73" s="129">
        <f>D73</f>
        <v>150</v>
      </c>
      <c r="R73" s="129"/>
      <c r="S73" s="129"/>
      <c r="T73" s="240"/>
      <c r="U73" s="240"/>
      <c r="V73" s="240"/>
      <c r="W73" s="129">
        <v>25</v>
      </c>
      <c r="X73" s="361"/>
    </row>
    <row r="74" spans="1:24" x14ac:dyDescent="0.2">
      <c r="A74" s="126">
        <v>46029</v>
      </c>
      <c r="B74" s="118" t="s">
        <v>301</v>
      </c>
      <c r="C74" s="137"/>
      <c r="D74" s="125">
        <v>6</v>
      </c>
      <c r="E74" s="125"/>
      <c r="F74" s="139" t="s">
        <v>242</v>
      </c>
      <c r="G74" s="127"/>
      <c r="H74" s="129"/>
      <c r="I74" s="129"/>
      <c r="J74" s="129"/>
      <c r="K74" s="127"/>
      <c r="L74" s="129"/>
      <c r="M74" s="127"/>
      <c r="N74" s="129"/>
      <c r="O74" s="129"/>
      <c r="P74" s="129"/>
      <c r="Q74" s="129"/>
      <c r="R74" s="129"/>
      <c r="S74" s="129"/>
      <c r="T74" s="241">
        <f>D74</f>
        <v>6</v>
      </c>
      <c r="U74" s="240"/>
      <c r="V74" s="240"/>
      <c r="W74" s="129"/>
      <c r="X74" s="361"/>
    </row>
    <row r="75" spans="1:24" x14ac:dyDescent="0.2">
      <c r="A75" s="126">
        <v>46062</v>
      </c>
      <c r="B75" s="118" t="s">
        <v>236</v>
      </c>
      <c r="D75" s="409">
        <v>495.2</v>
      </c>
      <c r="E75" s="125"/>
      <c r="F75" s="139">
        <v>52</v>
      </c>
      <c r="G75" s="139"/>
      <c r="H75" s="129">
        <f>D75</f>
        <v>495.2</v>
      </c>
      <c r="I75" s="129"/>
      <c r="J75" s="129"/>
      <c r="K75" s="127"/>
      <c r="L75" s="129"/>
      <c r="M75" s="127"/>
      <c r="N75" s="129"/>
      <c r="O75" s="129"/>
      <c r="P75" s="129"/>
      <c r="Q75" s="129"/>
      <c r="R75" s="129"/>
      <c r="S75" s="129"/>
      <c r="T75" s="241"/>
      <c r="U75" s="240"/>
      <c r="V75" s="240"/>
      <c r="W75" s="129"/>
      <c r="X75" s="361"/>
    </row>
    <row r="76" spans="1:24" x14ac:dyDescent="0.2">
      <c r="A76" s="126">
        <v>46062</v>
      </c>
      <c r="B76" s="118" t="s">
        <v>241</v>
      </c>
      <c r="C76" s="118"/>
      <c r="D76" s="125">
        <v>35.9</v>
      </c>
      <c r="E76" s="125"/>
      <c r="F76" s="127" t="s">
        <v>242</v>
      </c>
      <c r="G76" s="127"/>
      <c r="H76" s="129"/>
      <c r="I76" s="129"/>
      <c r="J76" s="129"/>
      <c r="K76" s="127"/>
      <c r="L76" s="129">
        <f>D76</f>
        <v>35.9</v>
      </c>
      <c r="M76" s="127"/>
      <c r="N76" s="129"/>
      <c r="O76" s="129"/>
      <c r="P76" s="129"/>
      <c r="Q76" s="129"/>
      <c r="R76" s="129"/>
      <c r="S76" s="129"/>
      <c r="T76" s="241"/>
      <c r="U76" s="240"/>
      <c r="V76" s="240"/>
      <c r="W76" s="129"/>
      <c r="X76" s="361"/>
    </row>
    <row r="77" spans="1:24" x14ac:dyDescent="0.2">
      <c r="A77" s="126">
        <v>46062</v>
      </c>
      <c r="B77" s="118" t="s">
        <v>304</v>
      </c>
      <c r="C77" s="137"/>
      <c r="D77" s="125">
        <v>60</v>
      </c>
      <c r="E77" s="125"/>
      <c r="F77" s="139">
        <v>53</v>
      </c>
      <c r="G77" s="127"/>
      <c r="H77" s="129"/>
      <c r="I77" s="129"/>
      <c r="J77" s="129"/>
      <c r="K77" s="127"/>
      <c r="L77" s="129"/>
      <c r="M77" s="127"/>
      <c r="N77" s="129"/>
      <c r="O77" s="129"/>
      <c r="P77" s="129"/>
      <c r="Q77" s="129">
        <f>D77</f>
        <v>60</v>
      </c>
      <c r="R77" s="129"/>
      <c r="S77" s="129"/>
      <c r="T77" s="240"/>
      <c r="U77" s="241"/>
      <c r="V77" s="240"/>
      <c r="W77" s="129"/>
      <c r="X77" s="361"/>
    </row>
    <row r="78" spans="1:24" x14ac:dyDescent="0.2">
      <c r="A78" s="126">
        <v>46062</v>
      </c>
      <c r="B78" s="118" t="s">
        <v>306</v>
      </c>
      <c r="C78" s="137"/>
      <c r="D78" s="125">
        <v>6</v>
      </c>
      <c r="E78" s="125"/>
      <c r="F78" s="139" t="s">
        <v>242</v>
      </c>
      <c r="G78" s="127"/>
      <c r="H78" s="129"/>
      <c r="I78" s="129"/>
      <c r="J78" s="129"/>
      <c r="K78" s="127"/>
      <c r="L78" s="129"/>
      <c r="M78" s="127"/>
      <c r="N78" s="129"/>
      <c r="O78" s="129"/>
      <c r="P78" s="129"/>
      <c r="Q78" s="129"/>
      <c r="R78" s="129"/>
      <c r="S78" s="129"/>
      <c r="T78" s="241">
        <f>D78</f>
        <v>6</v>
      </c>
      <c r="U78" s="240"/>
      <c r="V78" s="240"/>
      <c r="W78" s="129"/>
      <c r="X78" s="361"/>
    </row>
    <row r="79" spans="1:24" x14ac:dyDescent="0.2">
      <c r="A79" s="126">
        <v>46085</v>
      </c>
      <c r="B79" s="118" t="s">
        <v>236</v>
      </c>
      <c r="D79" s="407"/>
      <c r="E79" s="125"/>
      <c r="F79" s="139">
        <v>54</v>
      </c>
      <c r="G79" s="139"/>
      <c r="H79" s="129">
        <f>D79</f>
        <v>0</v>
      </c>
      <c r="I79" s="129"/>
      <c r="J79" s="129"/>
      <c r="K79" s="127"/>
      <c r="L79" s="129"/>
      <c r="M79" s="127"/>
      <c r="N79" s="129"/>
      <c r="O79" s="129"/>
      <c r="P79" s="129"/>
      <c r="Q79" s="129"/>
      <c r="R79" s="129"/>
      <c r="S79" s="129"/>
      <c r="T79" s="241"/>
      <c r="U79" s="240"/>
      <c r="V79" s="240"/>
      <c r="W79" s="129"/>
      <c r="X79" s="361"/>
    </row>
    <row r="80" spans="1:24" x14ac:dyDescent="0.2">
      <c r="A80" s="126">
        <v>46085</v>
      </c>
      <c r="B80" s="118" t="s">
        <v>241</v>
      </c>
      <c r="C80" s="118"/>
      <c r="D80" s="125">
        <v>35.9</v>
      </c>
      <c r="E80" s="125"/>
      <c r="F80" s="127" t="s">
        <v>242</v>
      </c>
      <c r="G80" s="127"/>
      <c r="H80" s="129"/>
      <c r="I80" s="129"/>
      <c r="J80" s="129"/>
      <c r="K80" s="127"/>
      <c r="L80" s="129">
        <f>D80</f>
        <v>35.9</v>
      </c>
      <c r="M80" s="127"/>
      <c r="N80" s="129"/>
      <c r="O80" s="129"/>
      <c r="P80" s="129"/>
      <c r="Q80" s="129"/>
      <c r="R80" s="129"/>
      <c r="S80" s="129"/>
      <c r="T80" s="241"/>
      <c r="U80" s="240"/>
      <c r="V80" s="240"/>
      <c r="W80" s="129"/>
      <c r="X80" s="361"/>
    </row>
    <row r="81" spans="1:24" x14ac:dyDescent="0.2">
      <c r="A81" s="126">
        <v>46085</v>
      </c>
      <c r="B81" s="118" t="s">
        <v>252</v>
      </c>
      <c r="C81" s="137"/>
      <c r="D81" s="390"/>
      <c r="E81" s="125"/>
      <c r="F81" s="139">
        <v>55</v>
      </c>
      <c r="G81" s="127"/>
      <c r="H81" s="129">
        <f>D81</f>
        <v>0</v>
      </c>
      <c r="I81" s="129"/>
      <c r="J81" s="129"/>
      <c r="K81" s="127"/>
      <c r="L81" s="129"/>
      <c r="M81" s="127"/>
      <c r="N81" s="129"/>
      <c r="O81" s="129"/>
      <c r="P81" s="129"/>
      <c r="Q81" s="129"/>
      <c r="R81" s="129"/>
      <c r="S81" s="129"/>
      <c r="T81" s="241"/>
      <c r="U81" s="240"/>
      <c r="V81" s="240"/>
      <c r="W81" s="129"/>
      <c r="X81" s="361"/>
    </row>
    <row r="82" spans="1:24" x14ac:dyDescent="0.2">
      <c r="A82" s="126">
        <v>46085</v>
      </c>
      <c r="B82" s="118" t="s">
        <v>307</v>
      </c>
      <c r="C82" s="137"/>
      <c r="D82" s="125">
        <v>6</v>
      </c>
      <c r="E82" s="125"/>
      <c r="F82" s="139" t="s">
        <v>242</v>
      </c>
      <c r="G82" s="127"/>
      <c r="H82" s="129"/>
      <c r="I82" s="129"/>
      <c r="J82" s="129"/>
      <c r="K82" s="127"/>
      <c r="L82" s="129"/>
      <c r="M82" s="127"/>
      <c r="N82" s="129"/>
      <c r="O82" s="129"/>
      <c r="P82" s="129"/>
      <c r="Q82" s="129"/>
      <c r="R82" s="129"/>
      <c r="S82" s="129"/>
      <c r="T82" s="241">
        <f>D82</f>
        <v>6</v>
      </c>
      <c r="U82" s="240"/>
      <c r="V82" s="240"/>
      <c r="W82" s="129"/>
      <c r="X82" s="361"/>
    </row>
    <row r="83" spans="1:24" x14ac:dyDescent="0.2">
      <c r="A83" s="126">
        <v>46085</v>
      </c>
      <c r="B83" s="118" t="s">
        <v>305</v>
      </c>
      <c r="C83" s="137"/>
      <c r="D83" s="390"/>
      <c r="E83" s="125"/>
      <c r="F83" s="139">
        <v>56</v>
      </c>
      <c r="G83" s="127"/>
      <c r="H83" s="129"/>
      <c r="I83" s="125"/>
      <c r="J83" s="125"/>
      <c r="K83" s="125"/>
      <c r="L83" s="125"/>
      <c r="M83" s="125"/>
      <c r="N83" s="125"/>
      <c r="O83" s="125"/>
      <c r="P83" s="125"/>
      <c r="Q83" s="125">
        <f>D83</f>
        <v>0</v>
      </c>
      <c r="R83" s="125"/>
      <c r="S83" s="125"/>
      <c r="T83" s="240"/>
      <c r="U83" s="240"/>
      <c r="V83" s="240"/>
      <c r="W83" s="125">
        <v>10</v>
      </c>
      <c r="X83" s="361"/>
    </row>
    <row r="84" spans="1:24" x14ac:dyDescent="0.2">
      <c r="A84" s="136">
        <v>46112</v>
      </c>
      <c r="B84" s="118" t="s">
        <v>310</v>
      </c>
      <c r="C84" s="137"/>
      <c r="D84" s="125">
        <v>7</v>
      </c>
      <c r="E84" s="125"/>
      <c r="F84" s="139" t="s">
        <v>242</v>
      </c>
      <c r="G84" s="127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241">
        <f>D84</f>
        <v>7</v>
      </c>
      <c r="U84" s="241"/>
      <c r="V84" s="240" t="s">
        <v>311</v>
      </c>
      <c r="W84" s="125"/>
      <c r="X84" s="361"/>
    </row>
    <row r="85" spans="1:24" x14ac:dyDescent="0.2">
      <c r="A85" s="136"/>
      <c r="B85" s="118"/>
      <c r="C85" s="137"/>
      <c r="D85" s="125"/>
      <c r="E85" s="125"/>
      <c r="F85" s="139"/>
      <c r="G85" s="127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240"/>
      <c r="U85" s="240"/>
      <c r="V85" s="240"/>
      <c r="W85" s="125"/>
      <c r="X85" s="361"/>
    </row>
    <row r="86" spans="1:24" x14ac:dyDescent="0.2">
      <c r="A86" s="136"/>
      <c r="B86" s="118"/>
      <c r="C86" s="137"/>
      <c r="D86" s="125"/>
      <c r="E86" s="125"/>
      <c r="F86" s="139"/>
      <c r="G86" s="127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240"/>
      <c r="U86" s="240"/>
      <c r="V86" s="240"/>
      <c r="W86" s="125"/>
      <c r="X86" s="361"/>
    </row>
    <row r="87" spans="1:24" x14ac:dyDescent="0.2">
      <c r="A87" s="136"/>
      <c r="B87" s="118"/>
      <c r="C87" s="137"/>
      <c r="D87" s="125"/>
      <c r="E87" s="125"/>
      <c r="F87" s="139"/>
      <c r="G87" s="127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240"/>
      <c r="U87" s="240"/>
      <c r="V87" s="240"/>
      <c r="W87" s="125"/>
      <c r="X87" s="361"/>
    </row>
    <row r="88" spans="1:24" x14ac:dyDescent="0.2">
      <c r="A88" s="136"/>
      <c r="B88" s="118"/>
      <c r="C88" s="137"/>
      <c r="D88" s="125"/>
      <c r="E88" s="125"/>
      <c r="F88" s="139"/>
      <c r="G88" s="127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240"/>
      <c r="U88" s="240"/>
      <c r="V88" s="240"/>
      <c r="W88" s="125"/>
      <c r="X88" s="361"/>
    </row>
    <row r="89" spans="1:24" x14ac:dyDescent="0.2">
      <c r="A89" s="136"/>
      <c r="B89" s="118"/>
      <c r="C89" s="137"/>
      <c r="D89" s="125"/>
      <c r="E89" s="125"/>
      <c r="F89" s="139"/>
      <c r="G89" s="127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241"/>
      <c r="U89" s="240"/>
      <c r="V89" s="240"/>
      <c r="W89" s="125"/>
      <c r="X89" s="361"/>
    </row>
    <row r="90" spans="1:24" x14ac:dyDescent="0.2">
      <c r="A90" s="136"/>
      <c r="B90" s="118"/>
      <c r="C90" s="137"/>
      <c r="D90" s="125"/>
      <c r="E90" s="125"/>
      <c r="F90" s="139"/>
      <c r="G90" s="127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240"/>
      <c r="U90" s="240"/>
      <c r="V90" s="240"/>
      <c r="W90" s="125"/>
      <c r="X90" s="361"/>
    </row>
    <row r="91" spans="1:24" x14ac:dyDescent="0.2">
      <c r="A91" s="136"/>
      <c r="B91" s="118"/>
      <c r="C91" s="137"/>
      <c r="D91" s="125"/>
      <c r="E91" s="125"/>
      <c r="F91" s="139"/>
      <c r="G91" s="127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240"/>
      <c r="U91" s="240"/>
      <c r="V91" s="240"/>
      <c r="W91" s="125"/>
      <c r="X91" s="361"/>
    </row>
    <row r="92" spans="1:24" x14ac:dyDescent="0.2">
      <c r="A92" s="136"/>
      <c r="B92" s="118"/>
      <c r="C92" s="137"/>
      <c r="D92" s="125"/>
      <c r="E92" s="125"/>
      <c r="F92" s="139"/>
      <c r="G92" s="127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240"/>
      <c r="U92" s="240"/>
      <c r="V92" s="240"/>
      <c r="W92" s="125"/>
      <c r="X92" s="361"/>
    </row>
    <row r="93" spans="1:24" x14ac:dyDescent="0.2">
      <c r="A93" s="136"/>
      <c r="B93" s="118"/>
      <c r="C93" s="137"/>
      <c r="D93" s="125"/>
      <c r="E93" s="125"/>
      <c r="F93" s="139"/>
      <c r="G93" s="127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240"/>
      <c r="U93" s="240"/>
      <c r="V93" s="240"/>
      <c r="W93" s="125"/>
      <c r="X93" s="361"/>
    </row>
    <row r="94" spans="1:24" x14ac:dyDescent="0.2">
      <c r="A94" s="136"/>
      <c r="B94" s="118"/>
      <c r="C94" s="137"/>
      <c r="D94" s="125"/>
      <c r="E94" s="125"/>
      <c r="F94" s="139"/>
      <c r="G94" s="127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  <c r="S94" s="125"/>
      <c r="T94" s="240"/>
      <c r="U94" s="240"/>
      <c r="V94" s="240"/>
      <c r="W94" s="125"/>
      <c r="X94" s="361"/>
    </row>
    <row r="95" spans="1:24" x14ac:dyDescent="0.2">
      <c r="A95" s="136"/>
      <c r="B95" s="118"/>
      <c r="C95" s="137"/>
      <c r="D95" s="125"/>
      <c r="E95" s="125"/>
      <c r="F95" s="139"/>
      <c r="G95" s="127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  <c r="S95" s="125"/>
      <c r="T95" s="240"/>
      <c r="U95" s="240"/>
      <c r="V95" s="240"/>
      <c r="W95" s="125"/>
      <c r="X95" s="361"/>
    </row>
    <row r="96" spans="1:24" x14ac:dyDescent="0.2">
      <c r="A96" s="136"/>
      <c r="B96" s="118"/>
      <c r="C96" s="137"/>
      <c r="D96" s="125"/>
      <c r="E96" s="125"/>
      <c r="F96" s="139"/>
      <c r="G96" s="127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  <c r="S96" s="125"/>
      <c r="T96" s="240"/>
      <c r="U96" s="240"/>
      <c r="V96" s="240"/>
      <c r="W96" s="125"/>
      <c r="X96" s="361"/>
    </row>
    <row r="97" spans="1:24" x14ac:dyDescent="0.2">
      <c r="A97" s="136"/>
      <c r="B97" s="118"/>
      <c r="C97" s="137"/>
      <c r="D97" s="125"/>
      <c r="E97" s="125"/>
      <c r="F97" s="139"/>
      <c r="G97" s="127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240"/>
      <c r="U97" s="240"/>
      <c r="V97" s="240"/>
      <c r="W97" s="125"/>
      <c r="X97" s="361"/>
    </row>
    <row r="98" spans="1:24" x14ac:dyDescent="0.2">
      <c r="A98" s="136"/>
      <c r="B98" s="118" t="s">
        <v>3</v>
      </c>
      <c r="C98" s="137"/>
      <c r="D98" s="125"/>
      <c r="E98" s="125"/>
      <c r="F98" s="139"/>
      <c r="G98" s="127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  <c r="S98" s="125"/>
      <c r="T98" s="240"/>
      <c r="U98" s="240"/>
      <c r="V98" s="240"/>
      <c r="W98" s="125"/>
      <c r="X98" s="361"/>
    </row>
    <row r="99" spans="1:24" ht="16" thickBot="1" x14ac:dyDescent="0.25">
      <c r="A99" s="136"/>
      <c r="B99" s="118" t="s">
        <v>3</v>
      </c>
      <c r="C99" s="137"/>
      <c r="D99" s="125"/>
      <c r="E99" s="125"/>
      <c r="F99" s="139"/>
      <c r="G99" s="127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  <c r="S99" s="125"/>
      <c r="T99" s="240"/>
      <c r="U99" s="240"/>
      <c r="V99" s="240"/>
      <c r="W99" s="125"/>
      <c r="X99" s="361"/>
    </row>
    <row r="100" spans="1:24" ht="16" thickBot="1" x14ac:dyDescent="0.25">
      <c r="A100" s="140"/>
      <c r="B100" s="141" t="s">
        <v>11</v>
      </c>
      <c r="C100" s="141"/>
      <c r="D100" s="142">
        <f>SUM(D63:D99)</f>
        <v>37785.600000000006</v>
      </c>
      <c r="E100" s="142">
        <f>SUM(E63:E99)</f>
        <v>0</v>
      </c>
      <c r="F100" s="143"/>
      <c r="G100" s="144" t="s">
        <v>3</v>
      </c>
      <c r="H100" s="144">
        <f t="shared" ref="H100:X100" si="4">SUM(H63:H99)</f>
        <v>6832.06</v>
      </c>
      <c r="I100" s="144">
        <f t="shared" si="4"/>
        <v>541.16999999999996</v>
      </c>
      <c r="J100" s="144">
        <f t="shared" si="4"/>
        <v>0</v>
      </c>
      <c r="K100" s="144">
        <f t="shared" si="4"/>
        <v>1504.62</v>
      </c>
      <c r="L100" s="144">
        <f t="shared" si="4"/>
        <v>1104.8000000000002</v>
      </c>
      <c r="M100" s="144">
        <f t="shared" si="4"/>
        <v>243.17000000000002</v>
      </c>
      <c r="N100" s="144">
        <f t="shared" si="4"/>
        <v>0</v>
      </c>
      <c r="O100" s="144">
        <f t="shared" si="4"/>
        <v>1925</v>
      </c>
      <c r="P100" s="144">
        <f t="shared" si="4"/>
        <v>0</v>
      </c>
      <c r="Q100" s="144">
        <f t="shared" si="4"/>
        <v>1236</v>
      </c>
      <c r="R100" s="144">
        <f t="shared" si="4"/>
        <v>0</v>
      </c>
      <c r="S100" s="144">
        <f t="shared" si="4"/>
        <v>15442.58</v>
      </c>
      <c r="T100" s="144">
        <f t="shared" si="4"/>
        <v>73</v>
      </c>
      <c r="U100" s="144">
        <f t="shared" si="4"/>
        <v>8883.1999999999989</v>
      </c>
      <c r="V100" s="144">
        <f t="shared" si="4"/>
        <v>0</v>
      </c>
      <c r="W100" s="145">
        <f t="shared" si="4"/>
        <v>124.72</v>
      </c>
      <c r="X100" s="145">
        <f t="shared" si="4"/>
        <v>0</v>
      </c>
    </row>
    <row r="101" spans="1:24" x14ac:dyDescent="0.2">
      <c r="A101" s="298"/>
      <c r="B101" s="296"/>
      <c r="C101" s="296"/>
      <c r="D101" s="299"/>
      <c r="E101" s="299"/>
      <c r="F101" s="300"/>
      <c r="G101" s="301"/>
      <c r="H101" s="301"/>
      <c r="I101" s="301"/>
      <c r="J101" s="301"/>
      <c r="K101" s="301"/>
      <c r="L101" s="301"/>
      <c r="M101" s="301"/>
      <c r="N101" s="301"/>
      <c r="O101" s="301"/>
      <c r="P101" s="301"/>
      <c r="Q101" s="301"/>
      <c r="R101" s="301"/>
      <c r="S101" s="301"/>
      <c r="T101" s="301"/>
      <c r="U101" s="301"/>
      <c r="V101" s="301"/>
      <c r="W101" s="301"/>
      <c r="X101" s="366"/>
    </row>
    <row r="102" spans="1:24" ht="16" thickBot="1" x14ac:dyDescent="0.25">
      <c r="A102" s="1"/>
      <c r="X102" s="367"/>
    </row>
    <row r="103" spans="1:24" ht="17" thickTop="1" thickBot="1" x14ac:dyDescent="0.25">
      <c r="A103" s="1"/>
      <c r="B103" s="201" t="s">
        <v>5</v>
      </c>
      <c r="C103" s="201"/>
      <c r="D103" s="302">
        <f>D100</f>
        <v>37785.600000000006</v>
      </c>
      <c r="E103" s="302">
        <f>E100</f>
        <v>0</v>
      </c>
      <c r="F103" s="303"/>
      <c r="G103" s="302" t="s">
        <v>3</v>
      </c>
      <c r="H103" s="302">
        <f t="shared" ref="H103:X103" si="5">H100</f>
        <v>6832.06</v>
      </c>
      <c r="I103" s="302">
        <f t="shared" si="5"/>
        <v>541.16999999999996</v>
      </c>
      <c r="J103" s="302">
        <f t="shared" si="5"/>
        <v>0</v>
      </c>
      <c r="K103" s="302">
        <f t="shared" si="5"/>
        <v>1504.62</v>
      </c>
      <c r="L103" s="302">
        <f t="shared" si="5"/>
        <v>1104.8000000000002</v>
      </c>
      <c r="M103" s="302">
        <f t="shared" si="5"/>
        <v>243.17000000000002</v>
      </c>
      <c r="N103" s="302">
        <f t="shared" si="5"/>
        <v>0</v>
      </c>
      <c r="O103" s="302">
        <f t="shared" si="5"/>
        <v>1925</v>
      </c>
      <c r="P103" s="302">
        <f t="shared" si="5"/>
        <v>0</v>
      </c>
      <c r="Q103" s="302">
        <f t="shared" si="5"/>
        <v>1236</v>
      </c>
      <c r="R103" s="302">
        <f t="shared" si="5"/>
        <v>0</v>
      </c>
      <c r="S103" s="302">
        <f t="shared" si="5"/>
        <v>15442.58</v>
      </c>
      <c r="T103" s="302">
        <f t="shared" si="5"/>
        <v>73</v>
      </c>
      <c r="U103" s="302">
        <f t="shared" si="5"/>
        <v>8883.1999999999989</v>
      </c>
      <c r="V103" s="302">
        <f t="shared" si="5"/>
        <v>0</v>
      </c>
      <c r="W103" s="302">
        <f t="shared" si="5"/>
        <v>124.72</v>
      </c>
      <c r="X103" s="364">
        <f t="shared" si="5"/>
        <v>0</v>
      </c>
    </row>
    <row r="104" spans="1:24" ht="16" thickTop="1" x14ac:dyDescent="0.2">
      <c r="A104" s="1"/>
      <c r="B104" s="296"/>
      <c r="C104" s="296"/>
      <c r="D104" s="299"/>
      <c r="E104" s="299"/>
      <c r="F104" s="304"/>
      <c r="G104" s="304"/>
      <c r="H104" s="299"/>
      <c r="I104" s="299"/>
      <c r="J104" s="299"/>
      <c r="K104" s="299"/>
      <c r="L104" s="299"/>
      <c r="M104" s="299"/>
      <c r="N104" s="299"/>
      <c r="O104" s="299"/>
      <c r="P104" s="299"/>
      <c r="Q104" s="299"/>
      <c r="R104" s="299"/>
      <c r="S104" s="299"/>
      <c r="T104" s="235"/>
      <c r="U104" s="235"/>
      <c r="V104" s="235"/>
      <c r="W104" s="299"/>
    </row>
    <row r="105" spans="1:24" x14ac:dyDescent="0.2">
      <c r="A105" s="1"/>
      <c r="B105" s="201" t="s">
        <v>12</v>
      </c>
      <c r="C105" s="201"/>
      <c r="D105" s="202"/>
      <c r="E105" s="202">
        <f>(E103)</f>
        <v>0</v>
      </c>
      <c r="F105" s="304"/>
      <c r="G105" s="304"/>
      <c r="H105" s="299"/>
      <c r="I105" s="299"/>
      <c r="J105" s="299"/>
      <c r="K105" s="299"/>
      <c r="L105" s="299"/>
      <c r="M105" s="299"/>
      <c r="N105" s="299"/>
      <c r="O105" s="299"/>
      <c r="P105" s="299"/>
      <c r="Q105" s="299"/>
      <c r="R105" s="299"/>
      <c r="S105" s="299"/>
      <c r="T105" s="235"/>
      <c r="U105" s="235"/>
      <c r="V105" s="235"/>
      <c r="W105" s="299"/>
    </row>
    <row r="106" spans="1:24" x14ac:dyDescent="0.2">
      <c r="A106" s="1"/>
      <c r="B106" s="201" t="s">
        <v>155</v>
      </c>
      <c r="C106" s="201"/>
      <c r="D106" s="202"/>
      <c r="E106" s="202">
        <f>(D103)</f>
        <v>37785.600000000006</v>
      </c>
      <c r="F106" s="304"/>
      <c r="G106" s="304"/>
      <c r="H106" s="299"/>
      <c r="I106" s="299"/>
      <c r="J106" s="299"/>
      <c r="K106" s="299"/>
      <c r="L106" s="299"/>
      <c r="M106" s="299"/>
      <c r="N106" s="299"/>
      <c r="O106" s="299"/>
      <c r="P106" s="299"/>
      <c r="Q106" s="299"/>
      <c r="R106" s="299"/>
      <c r="S106" s="299"/>
      <c r="T106" s="235"/>
      <c r="U106" s="235"/>
      <c r="V106" s="235"/>
      <c r="W106" s="299"/>
    </row>
    <row r="107" spans="1:24" x14ac:dyDescent="0.2">
      <c r="A107" s="1"/>
      <c r="B107" s="201" t="s">
        <v>13</v>
      </c>
      <c r="C107" s="296"/>
      <c r="D107" s="299"/>
      <c r="E107" s="202">
        <f>X103</f>
        <v>0</v>
      </c>
      <c r="F107" s="304"/>
      <c r="G107" s="304"/>
      <c r="H107" s="299"/>
      <c r="I107" s="299"/>
      <c r="J107" s="299"/>
      <c r="K107" s="299"/>
      <c r="L107" s="299"/>
      <c r="M107" s="299"/>
      <c r="N107" s="299"/>
      <c r="O107" s="299"/>
      <c r="P107" s="299"/>
      <c r="Q107" s="299"/>
      <c r="R107" s="299"/>
      <c r="S107" s="299"/>
      <c r="T107" s="235"/>
      <c r="U107" s="235"/>
      <c r="V107" s="235"/>
      <c r="W107" s="299"/>
    </row>
    <row r="108" spans="1:24" ht="16" thickBot="1" x14ac:dyDescent="0.25">
      <c r="B108" s="201" t="s">
        <v>14</v>
      </c>
      <c r="C108" s="201"/>
      <c r="D108" s="202"/>
      <c r="E108" s="305">
        <f>SUM(E105:E106,-E107)</f>
        <v>37785.600000000006</v>
      </c>
      <c r="F108" s="304"/>
      <c r="G108" s="304"/>
      <c r="H108" s="299"/>
      <c r="I108" s="299"/>
      <c r="J108" s="299"/>
      <c r="K108" s="299"/>
      <c r="L108" s="299"/>
      <c r="M108" s="299"/>
      <c r="N108" s="299"/>
      <c r="O108" s="299"/>
      <c r="P108" s="299"/>
      <c r="Q108" s="299"/>
      <c r="R108" s="299"/>
      <c r="S108" s="299"/>
      <c r="T108" s="235"/>
      <c r="U108" s="235"/>
      <c r="V108" s="235"/>
      <c r="W108" s="299"/>
    </row>
    <row r="109" spans="1:24" ht="16" thickTop="1" x14ac:dyDescent="0.2">
      <c r="B109" s="360" t="s">
        <v>212</v>
      </c>
      <c r="C109" s="235"/>
      <c r="D109" s="235"/>
      <c r="E109" s="358">
        <f>E108+E107</f>
        <v>37785.600000000006</v>
      </c>
      <c r="F109" s="235"/>
      <c r="G109" s="235"/>
      <c r="H109" s="235"/>
      <c r="I109" s="235"/>
      <c r="J109" s="235"/>
      <c r="K109" s="235"/>
      <c r="L109" s="235"/>
      <c r="M109" s="235"/>
      <c r="N109" s="235"/>
      <c r="O109" s="235"/>
      <c r="P109" s="235"/>
      <c r="Q109" s="235"/>
      <c r="R109" s="235"/>
      <c r="S109" s="235"/>
      <c r="T109" s="235"/>
      <c r="U109" s="235"/>
      <c r="V109" s="235"/>
      <c r="W109" s="235"/>
    </row>
  </sheetData>
  <autoFilter ref="A1:Y109" xr:uid="{00000000-0001-0000-0200-000000000000}"/>
  <phoneticPr fontId="13" type="noConversion"/>
  <pageMargins left="0.7" right="0.7" top="0.75" bottom="0.75" header="0.3" footer="0.3"/>
  <pageSetup paperSize="9" scale="54" fitToHeight="3" orientation="landscape" horizontalDpi="4294967293" verticalDpi="4294967293"/>
  <headerFooter>
    <oddHeader>&amp;R&amp;"Calibri,Regular"&amp;K000000&amp;A              &amp;D</oddHeader>
    <oddFooter>&amp;C&amp;"Calibri,Regular"&amp;12&amp;K000000Kirton &amp; Falkenham Parish Council Financial report 2025/26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5"/>
  <sheetViews>
    <sheetView tabSelected="1" view="pageLayout" zoomScaleNormal="100" workbookViewId="0">
      <selection activeCell="E1" sqref="E1"/>
    </sheetView>
  </sheetViews>
  <sheetFormatPr baseColWidth="10" defaultColWidth="8.83203125" defaultRowHeight="15" x14ac:dyDescent="0.2"/>
  <cols>
    <col min="2" max="2" width="38.5" customWidth="1"/>
    <col min="3" max="3" width="20.33203125" customWidth="1"/>
    <col min="4" max="4" width="19" customWidth="1"/>
    <col min="6" max="6" width="9.6640625" customWidth="1"/>
  </cols>
  <sheetData>
    <row r="1" spans="1:7" ht="25" x14ac:dyDescent="0.25">
      <c r="A1" s="108"/>
      <c r="B1" s="109" t="s">
        <v>153</v>
      </c>
      <c r="C1" s="131" t="s">
        <v>53</v>
      </c>
      <c r="D1" s="135">
        <v>46112</v>
      </c>
    </row>
    <row r="2" spans="1:7" ht="25" x14ac:dyDescent="0.25">
      <c r="A2" s="108"/>
      <c r="B2" s="109"/>
      <c r="C2" s="110"/>
      <c r="D2" s="111"/>
    </row>
    <row r="3" spans="1:7" ht="25" x14ac:dyDescent="0.25">
      <c r="A3" s="112"/>
      <c r="B3" s="113" t="s">
        <v>52</v>
      </c>
      <c r="C3" s="110">
        <v>45748</v>
      </c>
      <c r="D3" s="281">
        <f>'1.Bank Balance'!D4+'1.Bank Balance'!H4</f>
        <v>42149.69</v>
      </c>
    </row>
    <row r="4" spans="1:7" ht="25" x14ac:dyDescent="0.25">
      <c r="A4" s="112"/>
      <c r="B4" s="114" t="s">
        <v>27</v>
      </c>
      <c r="C4" s="110"/>
      <c r="D4" s="282">
        <f>'2.Receipts'!F36</f>
        <v>47012.149999999994</v>
      </c>
      <c r="E4" s="133"/>
    </row>
    <row r="5" spans="1:7" ht="25" x14ac:dyDescent="0.25">
      <c r="A5" s="112"/>
      <c r="B5" s="113"/>
      <c r="C5" s="110"/>
      <c r="D5" s="281">
        <f>SUM(D3,D4)</f>
        <v>89161.84</v>
      </c>
    </row>
    <row r="6" spans="1:7" ht="25" x14ac:dyDescent="0.25">
      <c r="A6" s="112"/>
      <c r="B6" s="114" t="s">
        <v>225</v>
      </c>
      <c r="C6" s="110"/>
      <c r="D6" s="281">
        <f>'2.Receipts'!F34</f>
        <v>451.95</v>
      </c>
    </row>
    <row r="7" spans="1:7" ht="25" x14ac:dyDescent="0.25">
      <c r="A7" s="112"/>
      <c r="B7" s="114" t="s">
        <v>23</v>
      </c>
      <c r="C7" s="110"/>
      <c r="D7" s="282">
        <f>'3.Payments'!E108</f>
        <v>37785.600000000006</v>
      </c>
      <c r="F7" s="322"/>
      <c r="G7" s="322"/>
    </row>
    <row r="8" spans="1:7" ht="25" x14ac:dyDescent="0.25">
      <c r="A8" s="112"/>
      <c r="B8" s="114"/>
      <c r="C8" s="110"/>
      <c r="D8" s="282"/>
    </row>
    <row r="9" spans="1:7" ht="26" thickBot="1" x14ac:dyDescent="0.3">
      <c r="A9" s="115" t="s">
        <v>54</v>
      </c>
      <c r="B9" s="116" t="s">
        <v>28</v>
      </c>
      <c r="C9" s="117"/>
      <c r="D9" s="283">
        <f>SUM(D5+D6-D7)</f>
        <v>51828.189999999988</v>
      </c>
    </row>
    <row r="10" spans="1:7" ht="26" thickTop="1" x14ac:dyDescent="0.25">
      <c r="A10" s="112"/>
      <c r="B10" s="113" t="s">
        <v>152</v>
      </c>
      <c r="C10" s="110"/>
      <c r="D10" s="281"/>
    </row>
    <row r="11" spans="1:7" ht="25" x14ac:dyDescent="0.25">
      <c r="A11" s="112"/>
      <c r="B11" s="113"/>
      <c r="C11" s="110"/>
      <c r="D11" s="281"/>
    </row>
    <row r="12" spans="1:7" ht="25" x14ac:dyDescent="0.25">
      <c r="A12" s="112"/>
      <c r="B12" s="113" t="s">
        <v>55</v>
      </c>
      <c r="C12" s="135">
        <v>46112</v>
      </c>
      <c r="D12" s="281">
        <v>31176.61</v>
      </c>
    </row>
    <row r="13" spans="1:7" ht="25" x14ac:dyDescent="0.25">
      <c r="A13" s="112"/>
      <c r="B13" s="113" t="s">
        <v>208</v>
      </c>
      <c r="C13" s="135">
        <v>46112</v>
      </c>
      <c r="D13" s="284">
        <v>20651.580000000002</v>
      </c>
    </row>
    <row r="14" spans="1:7" ht="25" x14ac:dyDescent="0.25">
      <c r="A14" s="112"/>
      <c r="B14" s="113"/>
      <c r="C14" s="110"/>
      <c r="D14" s="281">
        <f>SUM(D12:D13)</f>
        <v>51828.19</v>
      </c>
    </row>
    <row r="15" spans="1:7" ht="25" x14ac:dyDescent="0.25">
      <c r="A15" s="112"/>
      <c r="B15" s="113"/>
      <c r="C15" s="110"/>
      <c r="D15" s="281"/>
      <c r="F15" s="133"/>
    </row>
    <row r="16" spans="1:7" ht="25" x14ac:dyDescent="0.25">
      <c r="A16" s="112"/>
      <c r="B16" s="114" t="s">
        <v>57</v>
      </c>
      <c r="C16" s="110"/>
      <c r="D16" s="282">
        <f>'3.Payments'!D79+'3.Payments'!D81+'3.Payments'!D83</f>
        <v>0</v>
      </c>
    </row>
    <row r="17" spans="1:6" ht="25" x14ac:dyDescent="0.25">
      <c r="A17" s="112"/>
      <c r="B17" s="114"/>
      <c r="C17" s="110"/>
      <c r="D17" s="281">
        <f>D14-D16</f>
        <v>51828.19</v>
      </c>
      <c r="F17" s="133"/>
    </row>
    <row r="18" spans="1:6" ht="25" x14ac:dyDescent="0.25">
      <c r="A18" s="112"/>
      <c r="B18" s="114"/>
      <c r="C18" s="110"/>
      <c r="D18" s="281"/>
      <c r="F18" s="322"/>
    </row>
    <row r="19" spans="1:6" ht="25" x14ac:dyDescent="0.25">
      <c r="A19" s="112"/>
      <c r="B19" s="114" t="s">
        <v>58</v>
      </c>
      <c r="C19" s="110"/>
      <c r="D19" s="282"/>
    </row>
    <row r="20" spans="1:6" ht="25" x14ac:dyDescent="0.25">
      <c r="A20" s="112"/>
      <c r="B20" s="114"/>
      <c r="C20" s="110"/>
      <c r="D20" s="282"/>
    </row>
    <row r="21" spans="1:6" ht="26" thickBot="1" x14ac:dyDescent="0.3">
      <c r="A21" s="115" t="s">
        <v>59</v>
      </c>
      <c r="B21" s="116" t="s">
        <v>56</v>
      </c>
      <c r="C21" s="117"/>
      <c r="D21" s="283">
        <f>D17+D19</f>
        <v>51828.19</v>
      </c>
      <c r="F21" s="322"/>
    </row>
    <row r="22" spans="1:6" ht="16" thickTop="1" x14ac:dyDescent="0.2"/>
    <row r="23" spans="1:6" ht="25" x14ac:dyDescent="0.25">
      <c r="B23" s="132" t="s">
        <v>158</v>
      </c>
      <c r="D23" s="130" t="str">
        <f>IF(D9=D21,"YES", "NO")</f>
        <v>YES</v>
      </c>
      <c r="F23" s="133"/>
    </row>
    <row r="25" spans="1:6" ht="25" x14ac:dyDescent="0.25">
      <c r="B25" s="130" t="str">
        <f>IF(D23="YES","Checks out OK")</f>
        <v>Checks out OK</v>
      </c>
    </row>
  </sheetData>
  <phoneticPr fontId="27" type="noConversion"/>
  <pageMargins left="0.70000000000000007" right="0.70000000000000007" top="0.75000000000000011" bottom="0.75000000000000011" header="0.30000000000000004" footer="0.30000000000000004"/>
  <pageSetup paperSize="9" scale="86" orientation="landscape" horizontalDpi="4294967292" verticalDpi="4294967292"/>
  <headerFooter>
    <oddHeader>&amp;R&amp;"Calibri,Regular"&amp;K000000&amp;A              &amp;D</oddHeader>
    <oddFooter>&amp;CKirton &amp; Falkenham Parish Council Financial report 2025/26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4"/>
  <sheetViews>
    <sheetView view="pageLayout" zoomScale="163" zoomScaleNormal="100" zoomScalePageLayoutView="163" workbookViewId="0">
      <selection activeCell="M10" sqref="M10"/>
    </sheetView>
  </sheetViews>
  <sheetFormatPr baseColWidth="10" defaultColWidth="8.83203125" defaultRowHeight="13" x14ac:dyDescent="0.15"/>
  <cols>
    <col min="1" max="1" width="37.83203125" style="93" customWidth="1"/>
    <col min="2" max="2" width="10.6640625" style="93" customWidth="1"/>
    <col min="3" max="3" width="8.83203125" style="93" customWidth="1"/>
    <col min="4" max="4" width="8" style="93" bestFit="1" customWidth="1"/>
    <col min="5" max="5" width="9.1640625" style="96" customWidth="1"/>
    <col min="6" max="6" width="10.1640625" style="96" customWidth="1"/>
    <col min="7" max="7" width="8.5" style="93" customWidth="1"/>
    <col min="8" max="8" width="8.6640625" style="93" customWidth="1"/>
    <col min="9" max="10" width="8" style="93" customWidth="1"/>
    <col min="11" max="11" width="7.6640625" style="96" customWidth="1"/>
    <col min="12" max="12" width="8" style="96" customWidth="1"/>
    <col min="13" max="13" width="7.5" style="93" customWidth="1"/>
    <col min="14" max="14" width="8.83203125" style="93"/>
    <col min="15" max="15" width="13.33203125" style="93" bestFit="1" customWidth="1"/>
    <col min="16" max="16" width="10.6640625" style="93" bestFit="1" customWidth="1"/>
    <col min="17" max="17" width="10.1640625" style="93" bestFit="1" customWidth="1"/>
    <col min="18" max="16384" width="8.83203125" style="93"/>
  </cols>
  <sheetData>
    <row r="1" spans="1:17" ht="14" thickBot="1" x14ac:dyDescent="0.2">
      <c r="A1" s="90" t="s">
        <v>232</v>
      </c>
      <c r="B1" s="91" t="s">
        <v>62</v>
      </c>
      <c r="C1" s="91" t="s">
        <v>63</v>
      </c>
      <c r="D1" s="91" t="s">
        <v>64</v>
      </c>
      <c r="E1" s="92" t="s">
        <v>65</v>
      </c>
      <c r="F1" s="92" t="s">
        <v>66</v>
      </c>
      <c r="G1" s="91" t="s">
        <v>67</v>
      </c>
      <c r="H1" s="91" t="s">
        <v>68</v>
      </c>
      <c r="I1" s="91" t="s">
        <v>147</v>
      </c>
      <c r="J1" s="91" t="s">
        <v>148</v>
      </c>
      <c r="K1" s="92" t="s">
        <v>69</v>
      </c>
      <c r="L1" s="92" t="s">
        <v>70</v>
      </c>
      <c r="M1" s="93" t="s">
        <v>71</v>
      </c>
      <c r="N1" s="93" t="s">
        <v>72</v>
      </c>
      <c r="O1" s="93" t="s">
        <v>73</v>
      </c>
      <c r="P1" s="413" t="s">
        <v>235</v>
      </c>
      <c r="Q1" s="414"/>
    </row>
    <row r="2" spans="1:17" x14ac:dyDescent="0.15">
      <c r="A2" s="90" t="s">
        <v>74</v>
      </c>
      <c r="B2" s="94" t="s">
        <v>3</v>
      </c>
      <c r="C2" s="94"/>
      <c r="D2" s="94"/>
      <c r="E2" s="92"/>
      <c r="F2" s="92" t="s">
        <v>3</v>
      </c>
      <c r="G2" s="94"/>
      <c r="H2" s="94"/>
      <c r="I2" s="94"/>
      <c r="J2" s="94"/>
      <c r="K2" s="92"/>
      <c r="L2" s="92"/>
      <c r="N2" s="95"/>
      <c r="O2" s="95"/>
      <c r="P2" s="306" t="s">
        <v>75</v>
      </c>
      <c r="Q2" s="307" t="s">
        <v>76</v>
      </c>
    </row>
    <row r="3" spans="1:17" x14ac:dyDescent="0.15">
      <c r="A3" s="90" t="s">
        <v>77</v>
      </c>
      <c r="B3" s="391">
        <f>'2.Receipts'!D2+'2.Receipts'!D3+'2.Receipts'!D4</f>
        <v>15961.769999999999</v>
      </c>
      <c r="C3" s="329"/>
      <c r="D3" s="329"/>
      <c r="E3" s="391">
        <v>10800</v>
      </c>
      <c r="F3" s="246"/>
      <c r="G3" s="329"/>
      <c r="H3" s="391">
        <f>'2.Receipts'!D7+'2.Receipts'!D8</f>
        <v>14100.5</v>
      </c>
      <c r="I3" s="391">
        <f>'2.Receipts'!D10</f>
        <v>3524.88</v>
      </c>
      <c r="J3" s="332"/>
      <c r="K3" s="391">
        <f>'2.Receipts'!D11</f>
        <v>125</v>
      </c>
      <c r="L3" s="411">
        <f>'2.Receipts'!D13</f>
        <v>2500</v>
      </c>
      <c r="M3" s="329"/>
      <c r="N3" s="262">
        <f>SUM(B3:M3)</f>
        <v>47012.149999999994</v>
      </c>
      <c r="O3" s="324">
        <f>SUM(B3:M3)</f>
        <v>47012.149999999994</v>
      </c>
      <c r="P3" s="308"/>
      <c r="Q3" s="309" t="s">
        <v>3</v>
      </c>
    </row>
    <row r="4" spans="1:17" x14ac:dyDescent="0.15">
      <c r="A4" s="90" t="s">
        <v>151</v>
      </c>
      <c r="B4" s="392">
        <f>'1.Bank Balance'!D4+'1.Bank Balance'!H4</f>
        <v>42149.69</v>
      </c>
      <c r="C4" s="330"/>
      <c r="D4" s="330"/>
      <c r="E4" s="330"/>
      <c r="F4" s="330"/>
      <c r="G4" s="330"/>
      <c r="H4" s="330"/>
      <c r="I4" s="408" t="s">
        <v>3</v>
      </c>
      <c r="J4" s="330"/>
      <c r="K4" s="408"/>
      <c r="L4" s="330"/>
      <c r="M4" s="331"/>
      <c r="N4" s="385"/>
      <c r="O4" s="263"/>
      <c r="P4" s="310"/>
      <c r="Q4" s="311"/>
    </row>
    <row r="5" spans="1:17" x14ac:dyDescent="0.15">
      <c r="B5" s="393"/>
      <c r="C5" s="107"/>
      <c r="D5" s="107"/>
      <c r="E5" s="107"/>
      <c r="F5" s="107"/>
      <c r="G5" s="107"/>
      <c r="H5" s="107"/>
      <c r="I5" s="263"/>
      <c r="J5" s="107"/>
      <c r="K5" s="263"/>
      <c r="L5" s="107"/>
      <c r="M5" s="331"/>
      <c r="N5" s="385"/>
      <c r="O5" s="263"/>
      <c r="P5" s="312"/>
      <c r="Q5" s="311"/>
    </row>
    <row r="6" spans="1:17" x14ac:dyDescent="0.15">
      <c r="A6" s="93" t="s">
        <v>32</v>
      </c>
      <c r="B6" s="394">
        <f>'3.Payments'!D2</f>
        <v>479.59</v>
      </c>
      <c r="C6" s="396">
        <f>'3.Payments'!D8</f>
        <v>479.59</v>
      </c>
      <c r="D6" s="396">
        <f>'3.Payments'!D16+'3.Payments'!D20</f>
        <v>921.06999999999994</v>
      </c>
      <c r="E6" s="396">
        <f>'3.Payments'!D23</f>
        <v>479.59</v>
      </c>
      <c r="F6" s="396">
        <f>'3.Payments'!D29</f>
        <v>479.59</v>
      </c>
      <c r="G6" s="396">
        <f>'3.Payments'!H32+'3.Payments'!H33</f>
        <v>921.06999999999994</v>
      </c>
      <c r="H6" s="396">
        <f>'3.Payments'!D39</f>
        <v>479.59</v>
      </c>
      <c r="I6" s="396">
        <f>'3.Payments'!D46</f>
        <v>603.89</v>
      </c>
      <c r="J6" s="396">
        <f>'3.Payments'!D64+'3.Payments'!D65</f>
        <v>997.68000000000006</v>
      </c>
      <c r="K6" s="396">
        <f>'3.Payments'!D71</f>
        <v>495.2</v>
      </c>
      <c r="L6" s="396">
        <f>'3.Payments'!D75</f>
        <v>495.2</v>
      </c>
      <c r="M6" s="396"/>
      <c r="N6" s="385">
        <f>SUM(B6:M6)</f>
        <v>6832.06</v>
      </c>
      <c r="O6" s="262">
        <f t="shared" ref="O6:O17" si="0">SUM(B6:M6)</f>
        <v>6832.06</v>
      </c>
      <c r="P6" s="313">
        <f>'6.25-26 budget (approved)'!W8</f>
        <v>7723</v>
      </c>
      <c r="Q6" s="314">
        <f>P6-O6</f>
        <v>890.9399999999996</v>
      </c>
    </row>
    <row r="7" spans="1:17" x14ac:dyDescent="0.15">
      <c r="A7" s="93" t="s">
        <v>33</v>
      </c>
      <c r="B7" s="262">
        <f>'3.Payments'!D4</f>
        <v>541.16999999999996</v>
      </c>
      <c r="C7" s="263"/>
      <c r="D7" s="397"/>
      <c r="E7" s="246"/>
      <c r="F7" s="393"/>
      <c r="G7" s="263"/>
      <c r="H7" s="263"/>
      <c r="I7" s="263"/>
      <c r="J7" s="263"/>
      <c r="K7" s="263"/>
      <c r="L7" s="263"/>
      <c r="M7" s="263"/>
      <c r="N7" s="385">
        <f t="shared" ref="N7:N19" si="1">SUM(B7:M7)</f>
        <v>541.16999999999996</v>
      </c>
      <c r="O7" s="262">
        <f t="shared" si="0"/>
        <v>541.16999999999996</v>
      </c>
      <c r="P7" s="313">
        <f>'6.25-26 budget (approved)'!W14</f>
        <v>661</v>
      </c>
      <c r="Q7" s="314">
        <f t="shared" ref="Q7:Q17" si="2">P7-O7</f>
        <v>119.83000000000004</v>
      </c>
    </row>
    <row r="8" spans="1:17" x14ac:dyDescent="0.15">
      <c r="A8" s="93" t="s">
        <v>18</v>
      </c>
      <c r="B8" s="263"/>
      <c r="C8" s="263"/>
      <c r="D8" s="263"/>
      <c r="E8" s="107"/>
      <c r="F8" s="393"/>
      <c r="G8" s="263"/>
      <c r="H8" s="263"/>
      <c r="I8" s="263"/>
      <c r="J8" s="263"/>
      <c r="K8" s="263"/>
      <c r="L8" s="264"/>
      <c r="M8" s="263"/>
      <c r="N8" s="385">
        <f t="shared" si="1"/>
        <v>0</v>
      </c>
      <c r="O8" s="262">
        <f t="shared" si="0"/>
        <v>0</v>
      </c>
      <c r="P8" s="313">
        <f>'6.25-26 budget (approved)'!W11</f>
        <v>0</v>
      </c>
      <c r="Q8" s="314">
        <f t="shared" si="2"/>
        <v>0</v>
      </c>
    </row>
    <row r="9" spans="1:17" x14ac:dyDescent="0.15">
      <c r="A9" s="93" t="s">
        <v>34</v>
      </c>
      <c r="B9" s="262"/>
      <c r="C9" s="263"/>
      <c r="D9" s="264"/>
      <c r="E9" s="107"/>
      <c r="F9" s="393" t="s">
        <v>3</v>
      </c>
      <c r="G9" s="264"/>
      <c r="H9" s="404">
        <f>'3.Payments'!D37</f>
        <v>1504.62</v>
      </c>
      <c r="I9" s="262"/>
      <c r="J9" s="263"/>
      <c r="K9" s="263"/>
      <c r="L9" s="263"/>
      <c r="M9" s="263" t="s">
        <v>3</v>
      </c>
      <c r="N9" s="385">
        <f t="shared" si="1"/>
        <v>1504.62</v>
      </c>
      <c r="O9" s="262">
        <f t="shared" si="0"/>
        <v>1504.62</v>
      </c>
      <c r="P9" s="313">
        <f>'6.25-26 budget (approved)'!W13</f>
        <v>1514</v>
      </c>
      <c r="Q9" s="314">
        <f t="shared" si="2"/>
        <v>9.3800000000001091</v>
      </c>
    </row>
    <row r="10" spans="1:17" x14ac:dyDescent="0.15">
      <c r="A10" s="93" t="s">
        <v>35</v>
      </c>
      <c r="B10" s="262">
        <f>'3.Payments'!D6+'3.Payments'!D5+'3.Payments'!D5</f>
        <v>190</v>
      </c>
      <c r="C10" s="262">
        <f>'3.Payments'!D9+'3.Payments'!D12+'3.Payments'!D15</f>
        <v>261.89999999999998</v>
      </c>
      <c r="D10" s="262">
        <f>'3.Payments'!D17+'3.Payments'!D21</f>
        <v>41.9</v>
      </c>
      <c r="E10" s="262">
        <f>'3.Payments'!D26+'3.Payments'!D27</f>
        <v>41.9</v>
      </c>
      <c r="F10" s="262">
        <f>'3.Payments'!D28+'3.Payments'!D31+'3.Payments'!D27</f>
        <v>88.9</v>
      </c>
      <c r="G10" s="262">
        <f>'3.Payments'!D34+'3.Payments'!D35+'3.Payments'!D36</f>
        <v>293.89999999999998</v>
      </c>
      <c r="H10" s="262">
        <f>'3.Payments'!D38+'3.Payments'!D44</f>
        <v>41.9</v>
      </c>
      <c r="I10" s="262">
        <f>'3.Payments'!D45+'3.Payments'!D59</f>
        <v>41.9</v>
      </c>
      <c r="J10" s="262">
        <f>'3.Payments'!D67+'3.Payments'!D68</f>
        <v>41.9</v>
      </c>
      <c r="K10" s="397">
        <f>'3.Payments'!D74+'3.Payments'!D68</f>
        <v>41.9</v>
      </c>
      <c r="L10" s="262">
        <f>'3.Payments'!D76+'3.Payments'!D78</f>
        <v>41.9</v>
      </c>
      <c r="M10" s="262">
        <f>'3.Payments'!D80+'3.Payments'!D82</f>
        <v>41.9</v>
      </c>
      <c r="N10" s="385">
        <f t="shared" si="1"/>
        <v>1169.9000000000001</v>
      </c>
      <c r="O10" s="262">
        <f t="shared" si="0"/>
        <v>1169.9000000000001</v>
      </c>
      <c r="P10" s="315">
        <f>'6.25-26 budget (approved)'!W15+'6.25-26 budget (approved)'!W9+'6.25-26 budget (approved)'!W18+'6.25-26 budget (approved)'!W19</f>
        <v>1281</v>
      </c>
      <c r="Q10" s="314">
        <f t="shared" si="2"/>
        <v>111.09999999999991</v>
      </c>
    </row>
    <row r="11" spans="1:17" x14ac:dyDescent="0.15">
      <c r="A11" s="93" t="s">
        <v>36</v>
      </c>
      <c r="B11" s="395"/>
      <c r="C11" s="262">
        <f>'3.Payments'!D10+'3.Payments'!D11</f>
        <v>92.33</v>
      </c>
      <c r="D11" s="262">
        <f>'3.Payments'!D18+'3.Payments'!D19</f>
        <v>62.980000000000004</v>
      </c>
      <c r="E11" s="246"/>
      <c r="F11" s="385">
        <f>'3.Payments'!D30</f>
        <v>21.49</v>
      </c>
      <c r="G11" s="331"/>
      <c r="H11" s="395"/>
      <c r="I11" s="262"/>
      <c r="J11" s="262">
        <f>'3.Payments'!D66</f>
        <v>66.37</v>
      </c>
      <c r="K11" s="262"/>
      <c r="L11" s="262"/>
      <c r="M11" s="262"/>
      <c r="N11" s="385">
        <f t="shared" si="1"/>
        <v>243.17000000000002</v>
      </c>
      <c r="O11" s="262">
        <f t="shared" si="0"/>
        <v>243.17000000000002</v>
      </c>
      <c r="P11" s="315">
        <f>'6.25-26 budget (approved)'!W16+'6.25-26 budget (approved)'!W10</f>
        <v>397</v>
      </c>
      <c r="Q11" s="314">
        <f t="shared" si="2"/>
        <v>153.82999999999998</v>
      </c>
    </row>
    <row r="12" spans="1:17" x14ac:dyDescent="0.15">
      <c r="A12" s="93" t="s">
        <v>37</v>
      </c>
      <c r="B12" s="395"/>
      <c r="C12" s="262"/>
      <c r="D12" s="246"/>
      <c r="E12" s="246"/>
      <c r="F12" s="107" t="s">
        <v>3</v>
      </c>
      <c r="G12" s="246"/>
      <c r="H12" s="393"/>
      <c r="I12" s="263" t="s">
        <v>3</v>
      </c>
      <c r="J12" s="263"/>
      <c r="K12" s="262"/>
      <c r="L12" s="263"/>
      <c r="M12" s="262"/>
      <c r="N12" s="385">
        <f t="shared" si="1"/>
        <v>0</v>
      </c>
      <c r="O12" s="262">
        <f t="shared" si="0"/>
        <v>0</v>
      </c>
      <c r="P12" s="315">
        <f>'6.25-26 budget (approved)'!W17</f>
        <v>246</v>
      </c>
      <c r="Q12" s="314">
        <f t="shared" si="2"/>
        <v>246</v>
      </c>
    </row>
    <row r="13" spans="1:17" x14ac:dyDescent="0.15">
      <c r="A13" s="93" t="s">
        <v>38</v>
      </c>
      <c r="B13" s="393"/>
      <c r="C13" s="397"/>
      <c r="D13" s="246"/>
      <c r="E13" s="246"/>
      <c r="F13" s="107"/>
      <c r="G13" s="246"/>
      <c r="H13" s="262">
        <f>'3.Payments'!D41</f>
        <v>50</v>
      </c>
      <c r="I13" s="397">
        <f>SUM('3.Payments'!D48:D57)</f>
        <v>1750</v>
      </c>
      <c r="J13" s="262"/>
      <c r="K13" s="397">
        <f>'3.Payments'!D70</f>
        <v>125</v>
      </c>
      <c r="L13" s="262"/>
      <c r="M13" s="263" t="s">
        <v>3</v>
      </c>
      <c r="N13" s="385">
        <f t="shared" si="1"/>
        <v>1925</v>
      </c>
      <c r="O13" s="262">
        <f t="shared" si="0"/>
        <v>1925</v>
      </c>
      <c r="P13" s="315">
        <f>'6.25-26 budget (approved)'!W31</f>
        <v>1600</v>
      </c>
      <c r="Q13" s="314">
        <f t="shared" si="2"/>
        <v>-325</v>
      </c>
    </row>
    <row r="14" spans="1:17" x14ac:dyDescent="0.15">
      <c r="A14" s="93" t="s">
        <v>39</v>
      </c>
      <c r="B14" s="393"/>
      <c r="C14" s="263"/>
      <c r="D14" s="107"/>
      <c r="E14" s="107"/>
      <c r="F14" s="107" t="s">
        <v>3</v>
      </c>
      <c r="G14" s="107"/>
      <c r="H14" s="395"/>
      <c r="I14" s="263"/>
      <c r="J14" s="263"/>
      <c r="K14" s="263"/>
      <c r="L14" s="263"/>
      <c r="M14" s="263"/>
      <c r="N14" s="385">
        <f t="shared" si="1"/>
        <v>0</v>
      </c>
      <c r="O14" s="262">
        <f t="shared" si="0"/>
        <v>0</v>
      </c>
      <c r="P14" s="315">
        <f>'6.25-26 budget (approved)'!W12</f>
        <v>0</v>
      </c>
      <c r="Q14" s="314">
        <f t="shared" si="2"/>
        <v>0</v>
      </c>
    </row>
    <row r="15" spans="1:17" x14ac:dyDescent="0.15">
      <c r="A15" s="93" t="s">
        <v>40</v>
      </c>
      <c r="B15" s="395"/>
      <c r="C15" s="262"/>
      <c r="D15" s="262">
        <f>'3.Payments'!D22</f>
        <v>235</v>
      </c>
      <c r="E15" s="246"/>
      <c r="F15" s="107" t="s">
        <v>3</v>
      </c>
      <c r="G15" s="246"/>
      <c r="H15" s="395"/>
      <c r="I15" s="262">
        <f>'3.Payments'!D47</f>
        <v>40</v>
      </c>
      <c r="J15" s="397">
        <f>'3.Payments'!D60</f>
        <v>576</v>
      </c>
      <c r="K15" s="262">
        <f>'3.Payments'!D73+'3.Payments'!D69</f>
        <v>325</v>
      </c>
      <c r="L15" s="262">
        <f>'3.Payments'!D77</f>
        <v>60</v>
      </c>
      <c r="M15" s="262"/>
      <c r="N15" s="385">
        <f t="shared" si="1"/>
        <v>1236</v>
      </c>
      <c r="O15" s="262">
        <f t="shared" si="0"/>
        <v>1236</v>
      </c>
      <c r="P15" s="315">
        <f>'6.25-26 budget (approved)'!W22+'6.25-26 budget (approved)'!W25</f>
        <v>4126</v>
      </c>
      <c r="Q15" s="314">
        <f t="shared" si="2"/>
        <v>2890</v>
      </c>
    </row>
    <row r="16" spans="1:17" x14ac:dyDescent="0.15">
      <c r="A16" s="93" t="s">
        <v>201</v>
      </c>
      <c r="B16" s="393"/>
      <c r="C16" s="263"/>
      <c r="D16" s="107" t="s">
        <v>3</v>
      </c>
      <c r="E16" s="107"/>
      <c r="F16" s="107" t="s">
        <v>3</v>
      </c>
      <c r="G16" s="107" t="s">
        <v>3</v>
      </c>
      <c r="H16" s="393"/>
      <c r="I16" s="263" t="s">
        <v>3</v>
      </c>
      <c r="J16" s="107"/>
      <c r="K16" s="107"/>
      <c r="L16" s="107"/>
      <c r="M16" s="331"/>
      <c r="N16" s="385">
        <f t="shared" si="1"/>
        <v>0</v>
      </c>
      <c r="O16" s="262">
        <f t="shared" si="0"/>
        <v>0</v>
      </c>
      <c r="P16" s="315">
        <f>'6.25-26 budget (approved)'!W20+'6.25-26 budget (approved)'!W21</f>
        <v>2400</v>
      </c>
      <c r="Q16" s="314">
        <f t="shared" si="2"/>
        <v>2400</v>
      </c>
    </row>
    <row r="17" spans="1:17" x14ac:dyDescent="0.15">
      <c r="A17" s="93" t="s">
        <v>42</v>
      </c>
      <c r="B17" s="395"/>
      <c r="C17" s="262"/>
      <c r="D17" s="246"/>
      <c r="E17" s="262">
        <f>E3</f>
        <v>10800</v>
      </c>
      <c r="F17" s="246"/>
      <c r="G17" s="331"/>
      <c r="H17" s="262">
        <f>'3.Payments'!D40</f>
        <v>900</v>
      </c>
      <c r="I17" s="262">
        <f>'3.Payments'!D58</f>
        <v>3584.09</v>
      </c>
      <c r="J17" s="246"/>
      <c r="K17" s="246"/>
      <c r="L17" s="332"/>
      <c r="M17" s="332"/>
      <c r="N17" s="385">
        <f t="shared" si="1"/>
        <v>15284.09</v>
      </c>
      <c r="O17" s="262">
        <f t="shared" si="0"/>
        <v>15284.09</v>
      </c>
      <c r="P17" s="315">
        <f>'6.25-26 budget (approved)'!W32</f>
        <v>1265</v>
      </c>
      <c r="Q17" s="314">
        <f t="shared" si="2"/>
        <v>-14019.09</v>
      </c>
    </row>
    <row r="18" spans="1:17" x14ac:dyDescent="0.15">
      <c r="B18" s="393"/>
      <c r="C18" s="263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385"/>
      <c r="O18" s="325"/>
      <c r="P18" s="308"/>
      <c r="Q18" s="314"/>
    </row>
    <row r="19" spans="1:17" s="90" customFormat="1" x14ac:dyDescent="0.15">
      <c r="A19" s="90" t="s">
        <v>79</v>
      </c>
      <c r="B19" s="391">
        <f>SUM(B6:B17)</f>
        <v>1210.76</v>
      </c>
      <c r="C19" s="391">
        <f t="shared" ref="C19:M19" si="3">SUM(C6:C17)</f>
        <v>833.82</v>
      </c>
      <c r="D19" s="391">
        <f t="shared" si="3"/>
        <v>1260.9499999999998</v>
      </c>
      <c r="E19" s="391">
        <f t="shared" si="3"/>
        <v>11321.49</v>
      </c>
      <c r="F19" s="391">
        <f t="shared" si="3"/>
        <v>589.98</v>
      </c>
      <c r="G19" s="391">
        <f t="shared" si="3"/>
        <v>1214.9699999999998</v>
      </c>
      <c r="H19" s="391">
        <f t="shared" si="3"/>
        <v>2976.1099999999997</v>
      </c>
      <c r="I19" s="391">
        <f t="shared" si="3"/>
        <v>6019.88</v>
      </c>
      <c r="J19" s="391">
        <f t="shared" si="3"/>
        <v>1681.9500000000003</v>
      </c>
      <c r="K19" s="391">
        <f t="shared" si="3"/>
        <v>987.1</v>
      </c>
      <c r="L19" s="391">
        <f t="shared" si="3"/>
        <v>597.1</v>
      </c>
      <c r="M19" s="391">
        <f t="shared" si="3"/>
        <v>41.9</v>
      </c>
      <c r="N19" s="385">
        <f t="shared" si="1"/>
        <v>28736.010000000002</v>
      </c>
      <c r="O19" s="326">
        <f>SUM(O6:O17)</f>
        <v>28736.010000000002</v>
      </c>
      <c r="P19" s="316"/>
      <c r="Q19" s="314"/>
    </row>
    <row r="20" spans="1:17" x14ac:dyDescent="0.15">
      <c r="B20" s="107"/>
      <c r="C20" s="263"/>
      <c r="D20" s="107"/>
      <c r="E20" s="107"/>
      <c r="F20" s="107"/>
      <c r="G20" s="107"/>
      <c r="H20" s="330"/>
      <c r="I20" s="330"/>
      <c r="J20" s="330"/>
      <c r="K20" s="330"/>
      <c r="L20" s="330"/>
      <c r="M20" s="107"/>
      <c r="N20" s="385"/>
      <c r="O20" s="263"/>
      <c r="P20" s="308"/>
      <c r="Q20" s="314"/>
    </row>
    <row r="21" spans="1:17" s="90" customFormat="1" x14ac:dyDescent="0.15">
      <c r="A21" s="90" t="s">
        <v>80</v>
      </c>
      <c r="B21" s="107" t="s">
        <v>3</v>
      </c>
      <c r="C21" s="262">
        <f>'3.Payments'!D13+'3.Payments'!D14</f>
        <v>5431.5599999999995</v>
      </c>
      <c r="D21" s="107"/>
      <c r="E21" s="246"/>
      <c r="F21" s="107" t="s">
        <v>3</v>
      </c>
      <c r="G21" s="107"/>
      <c r="H21" s="262">
        <f>'3.Payments'!D42+'3.Payments'!D43</f>
        <v>3451.64</v>
      </c>
      <c r="I21" s="107"/>
      <c r="J21" s="107"/>
      <c r="K21" s="107"/>
      <c r="L21" s="386"/>
      <c r="M21" s="246"/>
      <c r="N21" s="385">
        <f t="shared" ref="N21" si="4">SUM(B21:H21)</f>
        <v>8883.1999999999989</v>
      </c>
      <c r="O21" s="327">
        <f>SUM(B21:M21)</f>
        <v>8883.1999999999989</v>
      </c>
      <c r="P21" s="317">
        <f>'6.25-26 budget (approved)'!W33</f>
        <v>5892</v>
      </c>
      <c r="Q21" s="314">
        <f>P21-O21</f>
        <v>-2991.1999999999989</v>
      </c>
    </row>
    <row r="22" spans="1:17" ht="14" thickBot="1" x14ac:dyDescent="0.2">
      <c r="B22" s="106"/>
      <c r="C22" s="264"/>
      <c r="D22" s="264"/>
      <c r="E22" s="106"/>
      <c r="F22" s="106"/>
      <c r="G22" s="106"/>
      <c r="H22" s="106"/>
      <c r="I22" s="106"/>
      <c r="J22" s="106"/>
      <c r="K22" s="106"/>
      <c r="L22" s="106"/>
      <c r="M22" s="106"/>
      <c r="N22" s="92"/>
      <c r="O22" s="92"/>
      <c r="P22" s="315"/>
      <c r="Q22" s="318"/>
    </row>
    <row r="23" spans="1:17" s="90" customFormat="1" ht="14" thickBot="1" x14ac:dyDescent="0.2">
      <c r="A23" s="90" t="s">
        <v>14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249">
        <f>SUM(N19:N22)</f>
        <v>37619.21</v>
      </c>
      <c r="O23" s="247">
        <f>SUM(O19:O22)</f>
        <v>37619.21</v>
      </c>
      <c r="P23" s="319">
        <f>SUM(P6:P21)</f>
        <v>27105</v>
      </c>
      <c r="Q23" s="323">
        <f>P23-O23</f>
        <v>-10514.21</v>
      </c>
    </row>
    <row r="24" spans="1:17" s="90" customFormat="1" x14ac:dyDescent="0.15">
      <c r="B24" s="98"/>
      <c r="C24" s="98"/>
      <c r="D24" s="98"/>
      <c r="E24" s="97"/>
      <c r="F24" s="97"/>
      <c r="G24" s="97"/>
      <c r="H24" s="98"/>
      <c r="I24" s="98"/>
      <c r="J24" s="98"/>
      <c r="K24" s="99" t="s">
        <v>81</v>
      </c>
      <c r="L24" s="99"/>
      <c r="M24" s="100"/>
      <c r="N24" s="95"/>
      <c r="O24" s="95"/>
      <c r="Q24" s="398"/>
    </row>
    <row r="25" spans="1:17" ht="20" x14ac:dyDescent="0.2">
      <c r="A25" s="101" t="s">
        <v>233</v>
      </c>
      <c r="B25" s="102">
        <f>'1.Bank Balance'!H4</f>
        <v>21950.06</v>
      </c>
      <c r="C25" s="103" t="s">
        <v>4</v>
      </c>
      <c r="D25" s="95"/>
      <c r="G25" s="96"/>
      <c r="H25" s="95"/>
      <c r="I25" s="95"/>
      <c r="J25" s="95"/>
      <c r="N25" s="95"/>
      <c r="O25" s="93" t="s">
        <v>293</v>
      </c>
      <c r="Q25" s="401">
        <f>Q23+E17+I17</f>
        <v>3869.880000000001</v>
      </c>
    </row>
    <row r="26" spans="1:17" ht="15" x14ac:dyDescent="0.2">
      <c r="A26" s="104" t="s">
        <v>82</v>
      </c>
      <c r="B26" s="102">
        <f>B25+O3-O23</f>
        <v>31342.999999999993</v>
      </c>
      <c r="C26" s="95"/>
      <c r="D26" s="95"/>
      <c r="F26" s="97" t="s">
        <v>83</v>
      </c>
      <c r="G26" s="97"/>
      <c r="H26" s="98"/>
      <c r="I26" s="98"/>
      <c r="J26" s="98"/>
      <c r="K26" s="97"/>
      <c r="L26" s="97"/>
      <c r="N26" s="98"/>
      <c r="O26" s="415" t="s">
        <v>261</v>
      </c>
      <c r="P26" s="416"/>
      <c r="Q26" s="401">
        <f>Q25+'2.Receipts'!K8+'2.Receipts'!K4</f>
        <v>6861.0800000000017</v>
      </c>
    </row>
    <row r="27" spans="1:17" ht="20" x14ac:dyDescent="0.2">
      <c r="A27" s="93" t="s">
        <v>226</v>
      </c>
      <c r="B27" s="102">
        <f>'1.Bank Balance'!D8</f>
        <v>20651.580000000002</v>
      </c>
      <c r="C27" s="103" t="s">
        <v>227</v>
      </c>
      <c r="D27" s="95"/>
      <c r="F27" s="104" t="s">
        <v>149</v>
      </c>
      <c r="G27" s="96"/>
      <c r="H27" s="95"/>
      <c r="I27" s="95"/>
      <c r="J27" s="95"/>
      <c r="N27" s="95"/>
      <c r="O27" s="93" t="s">
        <v>264</v>
      </c>
      <c r="P27"/>
      <c r="Q27" s="401">
        <f>Q16</f>
        <v>2400</v>
      </c>
    </row>
    <row r="28" spans="1:17" x14ac:dyDescent="0.15">
      <c r="A28" s="90" t="s">
        <v>84</v>
      </c>
      <c r="B28" s="105">
        <f>SUM(B26:B27)</f>
        <v>51994.579999999994</v>
      </c>
      <c r="G28" s="96"/>
      <c r="H28" s="93" t="s">
        <v>150</v>
      </c>
      <c r="O28" s="264" t="s">
        <v>262</v>
      </c>
      <c r="Q28" s="401">
        <f>'6.25-26 budget (approved)'!W25</f>
        <v>1275</v>
      </c>
    </row>
    <row r="29" spans="1:17" x14ac:dyDescent="0.15">
      <c r="G29" s="96"/>
      <c r="O29" s="90" t="s">
        <v>263</v>
      </c>
      <c r="P29" s="90"/>
      <c r="Q29" s="402">
        <f>Q26-Q27-Q28</f>
        <v>3186.0800000000017</v>
      </c>
    </row>
    <row r="30" spans="1:17" ht="20" x14ac:dyDescent="0.2">
      <c r="A30" s="93" t="s">
        <v>234</v>
      </c>
      <c r="H30"/>
      <c r="I30"/>
      <c r="J30"/>
      <c r="K30"/>
      <c r="L30"/>
      <c r="M30"/>
      <c r="N30"/>
      <c r="P30" s="399"/>
    </row>
    <row r="31" spans="1:17" ht="15" x14ac:dyDescent="0.2">
      <c r="A31" s="106" t="s">
        <v>85</v>
      </c>
      <c r="G31" s="96"/>
      <c r="O31"/>
      <c r="P31" s="399"/>
      <c r="Q31" s="399"/>
    </row>
    <row r="32" spans="1:17" x14ac:dyDescent="0.15">
      <c r="A32" s="93" t="s">
        <v>228</v>
      </c>
      <c r="P32" s="399"/>
      <c r="Q32" s="399"/>
    </row>
    <row r="33" spans="1:16" x14ac:dyDescent="0.15">
      <c r="A33" s="295">
        <v>46082</v>
      </c>
      <c r="B33" s="93" t="s">
        <v>190</v>
      </c>
      <c r="F33" s="97"/>
      <c r="G33" s="90"/>
      <c r="H33" s="90"/>
      <c r="L33" s="256"/>
      <c r="P33" s="399"/>
    </row>
    <row r="34" spans="1:16" x14ac:dyDescent="0.15">
      <c r="P34" s="400"/>
    </row>
  </sheetData>
  <sheetProtection selectLockedCells="1" selectUnlockedCells="1"/>
  <mergeCells count="2">
    <mergeCell ref="P1:Q1"/>
    <mergeCell ref="O26:P26"/>
  </mergeCells>
  <phoneticPr fontId="27" type="noConversion"/>
  <printOptions headings="1" gridLines="1"/>
  <pageMargins left="0.25" right="0.25" top="0.75" bottom="0.75" header="0.3" footer="0.3"/>
  <pageSetup paperSize="5" scale="86" firstPageNumber="0" orientation="landscape" verticalDpi="300"/>
  <headerFooter alignWithMargins="0">
    <oddHeader>&amp;R&amp;"Calibri,Regular"&amp;K000000&amp;A              &amp;D</oddHeader>
    <oddFooter>&amp;C&amp;"Calibri,Regular"&amp;12&amp;K000000Kirton &amp; Falkenham Parish Council Financial report 2025/26</oddFooter>
  </headerFooter>
  <ignoredErrors>
    <ignoredError sqref="O3 N23 O18:O21 O7:O17 O5" emptyCellReference="1"/>
  </ignoredErrors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85FBE-ABB0-E84E-9708-3DDFA8FD21C1}">
  <sheetPr>
    <pageSetUpPr fitToPage="1"/>
  </sheetPr>
  <dimension ref="B1:AG50"/>
  <sheetViews>
    <sheetView view="pageLayout" topLeftCell="D4" zoomScale="150" zoomScaleNormal="100" zoomScaleSheetLayoutView="100" zoomScalePageLayoutView="150" workbookViewId="0">
      <selection activeCell="V33" sqref="V33"/>
    </sheetView>
  </sheetViews>
  <sheetFormatPr baseColWidth="10" defaultColWidth="8.83203125" defaultRowHeight="15" x14ac:dyDescent="0.2"/>
  <cols>
    <col min="1" max="1" width="3.33203125" customWidth="1"/>
    <col min="2" max="2" width="13.5" customWidth="1"/>
    <col min="5" max="5" width="6.1640625" customWidth="1"/>
    <col min="6" max="6" width="9.1640625" hidden="1" customWidth="1"/>
    <col min="7" max="7" width="7.83203125" hidden="1" customWidth="1"/>
    <col min="8" max="8" width="8.5" hidden="1" customWidth="1"/>
    <col min="9" max="9" width="9.33203125" hidden="1" customWidth="1"/>
    <col min="10" max="10" width="9.5" hidden="1" customWidth="1"/>
    <col min="11" max="12" width="10.5" hidden="1" customWidth="1"/>
    <col min="13" max="13" width="9.6640625" hidden="1" customWidth="1"/>
    <col min="14" max="14" width="10.5" hidden="1" customWidth="1"/>
    <col min="15" max="15" width="0.1640625" hidden="1" customWidth="1"/>
    <col min="16" max="16" width="10.5" hidden="1" customWidth="1"/>
    <col min="17" max="17" width="8.33203125" hidden="1" customWidth="1"/>
    <col min="18" max="18" width="10.5" hidden="1" customWidth="1"/>
    <col min="19" max="19" width="10.1640625" hidden="1" customWidth="1"/>
    <col min="20" max="20" width="10.5" hidden="1" customWidth="1"/>
    <col min="21" max="23" width="10.5" customWidth="1"/>
    <col min="24" max="24" width="16.83203125" customWidth="1"/>
    <col min="25" max="25" width="3.33203125" hidden="1" customWidth="1"/>
    <col min="26" max="27" width="8.83203125" hidden="1" customWidth="1"/>
    <col min="28" max="28" width="4.6640625" customWidth="1"/>
    <col min="29" max="29" width="11.5" customWidth="1"/>
    <col min="30" max="30" width="1.5" customWidth="1"/>
    <col min="31" max="31" width="15.1640625" customWidth="1"/>
    <col min="32" max="32" width="10.5" customWidth="1"/>
  </cols>
  <sheetData>
    <row r="1" spans="2:33" ht="21" x14ac:dyDescent="0.25">
      <c r="B1" s="16" t="s">
        <v>213</v>
      </c>
      <c r="J1" s="17"/>
      <c r="K1" s="17"/>
      <c r="L1" s="17"/>
      <c r="M1" s="199"/>
      <c r="N1" s="17"/>
      <c r="O1" s="199"/>
      <c r="P1" s="199"/>
      <c r="Q1" s="199"/>
      <c r="R1" s="199"/>
      <c r="S1" s="199"/>
      <c r="T1" s="199"/>
      <c r="U1" s="199"/>
      <c r="V1" s="199"/>
      <c r="W1" s="199"/>
      <c r="X1" s="248">
        <v>45611</v>
      </c>
    </row>
    <row r="2" spans="2:33" ht="21" x14ac:dyDescent="0.25">
      <c r="B2" s="18"/>
      <c r="J2" s="19"/>
      <c r="R2" t="s">
        <v>161</v>
      </c>
      <c r="X2" s="382">
        <v>2.5000000000000001E-2</v>
      </c>
      <c r="Z2" s="20" t="s">
        <v>90</v>
      </c>
      <c r="AC2" s="156" t="s">
        <v>91</v>
      </c>
      <c r="AD2" s="156"/>
      <c r="AE2" s="155"/>
    </row>
    <row r="3" spans="2:33" ht="16" thickBot="1" x14ac:dyDescent="0.25">
      <c r="B3" s="19"/>
      <c r="J3" s="19"/>
      <c r="AA3" s="21" t="s">
        <v>92</v>
      </c>
      <c r="AC3" s="154" t="s">
        <v>93</v>
      </c>
      <c r="AD3" s="272"/>
      <c r="AE3" s="153"/>
    </row>
    <row r="4" spans="2:33" s="22" customFormat="1" ht="20" thickBot="1" x14ac:dyDescent="0.3">
      <c r="B4" s="16" t="s">
        <v>94</v>
      </c>
      <c r="F4" s="23" t="s">
        <v>95</v>
      </c>
      <c r="G4" s="24">
        <v>2018</v>
      </c>
      <c r="H4" s="23" t="s">
        <v>164</v>
      </c>
      <c r="I4" s="190" t="s">
        <v>96</v>
      </c>
      <c r="J4" s="24">
        <v>2019</v>
      </c>
      <c r="K4" s="23" t="s">
        <v>187</v>
      </c>
      <c r="L4" s="152">
        <v>2020</v>
      </c>
      <c r="M4" s="152" t="s">
        <v>188</v>
      </c>
      <c r="N4" s="60" t="s">
        <v>189</v>
      </c>
      <c r="O4" s="152" t="s">
        <v>191</v>
      </c>
      <c r="P4" s="60" t="s">
        <v>189</v>
      </c>
      <c r="Q4" s="152" t="s">
        <v>193</v>
      </c>
      <c r="R4" s="60" t="s">
        <v>189</v>
      </c>
      <c r="S4" s="152" t="s">
        <v>202</v>
      </c>
      <c r="T4" s="60" t="s">
        <v>189</v>
      </c>
      <c r="U4" s="371" t="s">
        <v>204</v>
      </c>
      <c r="V4" s="152" t="s">
        <v>189</v>
      </c>
      <c r="W4" s="152" t="s">
        <v>214</v>
      </c>
      <c r="X4" s="25" t="s">
        <v>97</v>
      </c>
      <c r="Z4" s="26" t="s">
        <v>98</v>
      </c>
      <c r="AA4" s="27"/>
      <c r="AC4" s="28">
        <v>45748</v>
      </c>
      <c r="AD4" s="273"/>
      <c r="AE4" s="285">
        <f>'4.Bank Reconciliation'!D3</f>
        <v>42149.69</v>
      </c>
      <c r="AF4" s="21" t="s">
        <v>180</v>
      </c>
    </row>
    <row r="5" spans="2:33" x14ac:dyDescent="0.2">
      <c r="F5" s="29" t="s">
        <v>99</v>
      </c>
      <c r="G5" s="30" t="s">
        <v>100</v>
      </c>
      <c r="H5" s="158" t="s">
        <v>99</v>
      </c>
      <c r="I5" s="31" t="s">
        <v>100</v>
      </c>
      <c r="J5" s="170" t="s">
        <v>101</v>
      </c>
      <c r="K5" s="177" t="s">
        <v>99</v>
      </c>
      <c r="L5" s="189" t="s">
        <v>101</v>
      </c>
      <c r="M5" s="151" t="s">
        <v>160</v>
      </c>
      <c r="N5" s="194"/>
      <c r="O5" s="151" t="s">
        <v>160</v>
      </c>
      <c r="P5" s="170"/>
      <c r="Q5" s="269"/>
      <c r="R5" s="170"/>
      <c r="S5" s="269"/>
      <c r="T5" s="170"/>
      <c r="U5" s="372"/>
      <c r="V5" s="151"/>
      <c r="W5" s="151"/>
      <c r="X5" s="63"/>
      <c r="AC5" s="32" t="s">
        <v>102</v>
      </c>
      <c r="AD5" s="65"/>
      <c r="AE5" s="286"/>
    </row>
    <row r="6" spans="2:33" x14ac:dyDescent="0.2">
      <c r="F6" s="33" t="s">
        <v>3</v>
      </c>
      <c r="G6" s="34"/>
      <c r="H6" s="159" t="s">
        <v>3</v>
      </c>
      <c r="I6" s="35" t="s">
        <v>103</v>
      </c>
      <c r="J6" s="171" t="s">
        <v>104</v>
      </c>
      <c r="K6" s="178"/>
      <c r="L6" s="186" t="s">
        <v>104</v>
      </c>
      <c r="M6" s="182"/>
      <c r="N6" s="195"/>
      <c r="O6" s="182"/>
      <c r="P6" s="171"/>
      <c r="Q6" s="182"/>
      <c r="R6" s="171"/>
      <c r="S6" s="182"/>
      <c r="T6" s="171"/>
      <c r="U6" s="373"/>
      <c r="V6" s="182"/>
      <c r="W6" s="182"/>
      <c r="X6" s="36" t="s">
        <v>3</v>
      </c>
      <c r="AC6" s="37" t="s">
        <v>105</v>
      </c>
      <c r="AD6" s="274"/>
      <c r="AE6" s="287">
        <v>2000</v>
      </c>
      <c r="AF6" s="21" t="s">
        <v>194</v>
      </c>
    </row>
    <row r="7" spans="2:33" ht="16" thickBot="1" x14ac:dyDescent="0.25">
      <c r="B7" s="22" t="s">
        <v>106</v>
      </c>
      <c r="F7" s="38" t="s">
        <v>3</v>
      </c>
      <c r="G7" s="34"/>
      <c r="H7" s="160" t="s">
        <v>3</v>
      </c>
      <c r="J7" s="172"/>
      <c r="K7" s="179" t="s">
        <v>3</v>
      </c>
      <c r="L7" s="185"/>
      <c r="M7" s="148"/>
      <c r="N7" s="196"/>
      <c r="O7" s="148"/>
      <c r="P7" s="266"/>
      <c r="Q7" s="148"/>
      <c r="R7" s="266"/>
      <c r="S7" s="148"/>
      <c r="T7" s="266"/>
      <c r="U7" s="374"/>
      <c r="V7" s="148"/>
      <c r="W7" s="148"/>
      <c r="X7" s="36" t="s">
        <v>3</v>
      </c>
      <c r="AC7" s="37" t="s">
        <v>3</v>
      </c>
      <c r="AD7" s="274"/>
      <c r="AE7" s="287" t="s">
        <v>3</v>
      </c>
    </row>
    <row r="8" spans="2:33" x14ac:dyDescent="0.2">
      <c r="C8" t="s">
        <v>107</v>
      </c>
      <c r="F8" s="39">
        <v>5882</v>
      </c>
      <c r="G8" s="40">
        <v>5892</v>
      </c>
      <c r="H8" s="161">
        <v>6997</v>
      </c>
      <c r="I8" s="39">
        <v>3806</v>
      </c>
      <c r="J8" s="173">
        <v>6009</v>
      </c>
      <c r="K8" s="178">
        <v>7031</v>
      </c>
      <c r="L8" s="185">
        <v>4899</v>
      </c>
      <c r="M8" s="183">
        <v>7216</v>
      </c>
      <c r="N8" s="250"/>
      <c r="O8" s="183">
        <v>7315</v>
      </c>
      <c r="P8" s="267">
        <v>6483</v>
      </c>
      <c r="Q8" s="183">
        <v>7608</v>
      </c>
      <c r="R8" s="267">
        <f>'5.Budget monitor'!O6</f>
        <v>6832.06</v>
      </c>
      <c r="S8" s="183">
        <v>8676</v>
      </c>
      <c r="T8" s="267">
        <f>S8</f>
        <v>8676</v>
      </c>
      <c r="U8" s="375">
        <v>9109.8000000000011</v>
      </c>
      <c r="V8" s="328">
        <v>8041</v>
      </c>
      <c r="W8" s="328">
        <f>7373+350</f>
        <v>7723</v>
      </c>
      <c r="X8" s="270" t="s">
        <v>215</v>
      </c>
      <c r="Y8" s="41" t="s">
        <v>3</v>
      </c>
      <c r="Z8" s="42">
        <v>7171</v>
      </c>
      <c r="AA8" s="43"/>
      <c r="AC8" s="37" t="s">
        <v>3</v>
      </c>
      <c r="AD8" s="274"/>
      <c r="AE8" s="287" t="s">
        <v>3</v>
      </c>
    </row>
    <row r="9" spans="2:33" ht="16" x14ac:dyDescent="0.2">
      <c r="C9" t="s">
        <v>108</v>
      </c>
      <c r="F9" s="39">
        <v>770</v>
      </c>
      <c r="G9" s="40">
        <v>397</v>
      </c>
      <c r="H9" s="161">
        <v>535</v>
      </c>
      <c r="I9" s="39">
        <v>298</v>
      </c>
      <c r="J9" s="173">
        <v>450</v>
      </c>
      <c r="K9" s="178">
        <v>500</v>
      </c>
      <c r="L9" s="185"/>
      <c r="M9" s="183"/>
      <c r="N9" s="250"/>
      <c r="O9" s="183"/>
      <c r="P9" s="267"/>
      <c r="Q9" s="183"/>
      <c r="R9" s="267"/>
      <c r="S9" s="183"/>
      <c r="T9" s="267"/>
      <c r="U9" s="376"/>
      <c r="V9" s="183"/>
      <c r="W9" s="183"/>
      <c r="X9" s="21" t="s">
        <v>162</v>
      </c>
      <c r="Y9" s="44" t="s">
        <v>3</v>
      </c>
      <c r="Z9" s="45">
        <v>510</v>
      </c>
      <c r="AA9" s="43"/>
      <c r="AC9" s="46"/>
      <c r="AD9" s="63"/>
      <c r="AE9" s="288">
        <f>SUM(AE4:AE8)</f>
        <v>44149.69</v>
      </c>
    </row>
    <row r="10" spans="2:33" x14ac:dyDescent="0.2">
      <c r="C10" t="s">
        <v>109</v>
      </c>
      <c r="F10" s="39">
        <v>125</v>
      </c>
      <c r="G10" s="40">
        <v>76</v>
      </c>
      <c r="H10" s="161">
        <v>128</v>
      </c>
      <c r="I10" s="39">
        <v>15</v>
      </c>
      <c r="J10" s="173">
        <v>75</v>
      </c>
      <c r="K10" s="178">
        <v>75</v>
      </c>
      <c r="L10" s="185"/>
      <c r="M10" s="183"/>
      <c r="N10" s="250"/>
      <c r="O10" s="183"/>
      <c r="P10" s="267"/>
      <c r="Q10" s="183"/>
      <c r="R10" s="267"/>
      <c r="S10" s="183"/>
      <c r="T10" s="267"/>
      <c r="U10" s="376"/>
      <c r="V10" s="183"/>
      <c r="W10" s="183"/>
      <c r="X10" s="21" t="s">
        <v>162</v>
      </c>
      <c r="Z10" s="47">
        <v>75</v>
      </c>
      <c r="AC10" s="32" t="s">
        <v>110</v>
      </c>
      <c r="AD10" s="65"/>
      <c r="AE10" s="287"/>
    </row>
    <row r="11" spans="2:33" x14ac:dyDescent="0.2">
      <c r="C11" t="s">
        <v>111</v>
      </c>
      <c r="F11" s="39">
        <v>30</v>
      </c>
      <c r="G11" s="40">
        <v>33</v>
      </c>
      <c r="H11" s="161">
        <v>34</v>
      </c>
      <c r="I11" s="39">
        <v>34</v>
      </c>
      <c r="J11" s="173">
        <v>34</v>
      </c>
      <c r="K11" s="178">
        <v>35</v>
      </c>
      <c r="L11" s="185">
        <v>35</v>
      </c>
      <c r="M11" s="183">
        <v>36</v>
      </c>
      <c r="N11" s="250"/>
      <c r="O11" s="183">
        <v>37</v>
      </c>
      <c r="P11" s="267">
        <v>40</v>
      </c>
      <c r="Q11" s="183">
        <v>42</v>
      </c>
      <c r="R11" s="267">
        <v>0</v>
      </c>
      <c r="S11" s="183">
        <v>46</v>
      </c>
      <c r="T11" s="267">
        <v>0</v>
      </c>
      <c r="U11" s="377">
        <v>46</v>
      </c>
      <c r="V11" s="333">
        <v>0</v>
      </c>
      <c r="W11" s="271">
        <v>0</v>
      </c>
      <c r="X11" s="21" t="s">
        <v>3</v>
      </c>
      <c r="Z11" s="47">
        <v>36</v>
      </c>
      <c r="AC11" s="37" t="s">
        <v>112</v>
      </c>
      <c r="AD11" s="274"/>
      <c r="AE11" s="287">
        <v>3300</v>
      </c>
    </row>
    <row r="12" spans="2:33" x14ac:dyDescent="0.2">
      <c r="C12" t="s">
        <v>39</v>
      </c>
      <c r="F12" s="39">
        <v>202</v>
      </c>
      <c r="G12" s="40">
        <v>175</v>
      </c>
      <c r="H12" s="161">
        <v>206</v>
      </c>
      <c r="I12" s="39">
        <v>20</v>
      </c>
      <c r="J12" s="173">
        <v>20</v>
      </c>
      <c r="K12" s="178">
        <v>250</v>
      </c>
      <c r="L12" s="185">
        <v>0</v>
      </c>
      <c r="M12" s="183">
        <v>0</v>
      </c>
      <c r="N12" s="250"/>
      <c r="O12" s="183">
        <v>9</v>
      </c>
      <c r="P12" s="267">
        <v>0</v>
      </c>
      <c r="Q12" s="183">
        <v>0</v>
      </c>
      <c r="R12" s="267">
        <v>0</v>
      </c>
      <c r="S12" s="183">
        <v>0</v>
      </c>
      <c r="T12" s="267">
        <v>0</v>
      </c>
      <c r="U12" s="377">
        <v>0</v>
      </c>
      <c r="V12" s="333">
        <v>0</v>
      </c>
      <c r="W12" s="271">
        <v>0</v>
      </c>
      <c r="X12" s="21" t="s">
        <v>3</v>
      </c>
      <c r="Z12" s="47">
        <v>250</v>
      </c>
      <c r="AC12" s="37" t="s">
        <v>113</v>
      </c>
      <c r="AD12" s="274"/>
      <c r="AE12" s="287"/>
    </row>
    <row r="13" spans="2:33" x14ac:dyDescent="0.2">
      <c r="C13" t="s">
        <v>8</v>
      </c>
      <c r="F13" s="39">
        <v>1822</v>
      </c>
      <c r="G13" s="40">
        <v>1238</v>
      </c>
      <c r="H13" s="161">
        <v>1600</v>
      </c>
      <c r="I13" s="39">
        <v>1368</v>
      </c>
      <c r="J13" s="173">
        <v>1368</v>
      </c>
      <c r="K13" s="178">
        <v>1100</v>
      </c>
      <c r="L13" s="185">
        <v>1046</v>
      </c>
      <c r="M13" s="183">
        <v>1067</v>
      </c>
      <c r="N13" s="250"/>
      <c r="O13" s="183">
        <f>1200</f>
        <v>1200</v>
      </c>
      <c r="P13" s="267">
        <v>1164</v>
      </c>
      <c r="Q13" s="183">
        <v>1211</v>
      </c>
      <c r="R13" s="267">
        <f>'5.Budget monitor'!O9</f>
        <v>1504.62</v>
      </c>
      <c r="S13" s="183">
        <v>1351</v>
      </c>
      <c r="T13" s="267">
        <f>'5.Budget monitor'!$O$9</f>
        <v>1504.62</v>
      </c>
      <c r="U13" s="376">
        <v>1350</v>
      </c>
      <c r="V13" s="183">
        <f>'5.Budget monitor'!O9</f>
        <v>1504.62</v>
      </c>
      <c r="W13" s="328">
        <v>1514</v>
      </c>
      <c r="X13" s="21"/>
      <c r="Z13" s="47">
        <v>1125</v>
      </c>
      <c r="AC13" s="37" t="s">
        <v>114</v>
      </c>
      <c r="AD13" s="274"/>
      <c r="AE13" s="287">
        <v>15750</v>
      </c>
      <c r="AF13" s="334" t="s">
        <v>217</v>
      </c>
      <c r="AG13" s="334"/>
    </row>
    <row r="14" spans="2:33" x14ac:dyDescent="0.2">
      <c r="C14" t="s">
        <v>115</v>
      </c>
      <c r="F14" s="39">
        <v>607</v>
      </c>
      <c r="G14" s="40">
        <v>524</v>
      </c>
      <c r="H14" s="161">
        <v>565</v>
      </c>
      <c r="I14" s="39">
        <v>558</v>
      </c>
      <c r="J14" s="173">
        <v>558</v>
      </c>
      <c r="K14" s="178">
        <v>575</v>
      </c>
      <c r="L14" s="185">
        <v>564</v>
      </c>
      <c r="M14" s="183">
        <v>575</v>
      </c>
      <c r="N14" s="250"/>
      <c r="O14" s="183">
        <v>655</v>
      </c>
      <c r="P14" s="267">
        <v>558</v>
      </c>
      <c r="Q14" s="183">
        <v>580</v>
      </c>
      <c r="R14" s="267">
        <f>'5.Budget monitor'!O7</f>
        <v>541.16999999999996</v>
      </c>
      <c r="S14" s="183">
        <v>614</v>
      </c>
      <c r="T14" s="267">
        <f>'5.Budget monitor'!$O$7</f>
        <v>541.16999999999996</v>
      </c>
      <c r="U14" s="375">
        <v>644.70000000000005</v>
      </c>
      <c r="V14" s="328">
        <f>U14</f>
        <v>644.70000000000005</v>
      </c>
      <c r="W14" s="328">
        <v>661</v>
      </c>
      <c r="X14" s="21" t="s">
        <v>3</v>
      </c>
      <c r="Z14" s="47">
        <v>585</v>
      </c>
      <c r="AC14" s="37" t="s">
        <v>19</v>
      </c>
      <c r="AD14" s="274"/>
      <c r="AE14" s="287">
        <v>2500</v>
      </c>
      <c r="AF14" s="334" t="s">
        <v>218</v>
      </c>
      <c r="AG14" s="334"/>
    </row>
    <row r="15" spans="2:33" ht="16" thickBot="1" x14ac:dyDescent="0.25">
      <c r="C15" t="s">
        <v>116</v>
      </c>
      <c r="F15" s="39">
        <v>190</v>
      </c>
      <c r="G15" s="40">
        <v>100</v>
      </c>
      <c r="H15" s="161">
        <v>130</v>
      </c>
      <c r="I15" s="39">
        <v>200</v>
      </c>
      <c r="J15" s="173">
        <v>328</v>
      </c>
      <c r="K15" s="178">
        <v>131</v>
      </c>
      <c r="L15" s="185">
        <v>250</v>
      </c>
      <c r="M15" s="183">
        <v>750</v>
      </c>
      <c r="N15" s="250"/>
      <c r="O15" s="183">
        <v>184</v>
      </c>
      <c r="P15" s="267">
        <v>435</v>
      </c>
      <c r="Q15" s="183">
        <v>191</v>
      </c>
      <c r="R15" s="267">
        <f>'3.Payments'!D21</f>
        <v>6</v>
      </c>
      <c r="S15" s="183">
        <v>400</v>
      </c>
      <c r="T15" s="267">
        <f>'3.Payments'!D12+'3.Payments'!D25</f>
        <v>226</v>
      </c>
      <c r="U15" s="376">
        <v>495</v>
      </c>
      <c r="V15" s="183">
        <v>525</v>
      </c>
      <c r="W15" s="328">
        <v>538</v>
      </c>
      <c r="X15" s="21"/>
      <c r="Z15" s="47">
        <v>134</v>
      </c>
      <c r="AC15" s="37" t="s">
        <v>117</v>
      </c>
      <c r="AD15" s="274"/>
      <c r="AE15" s="287">
        <v>0</v>
      </c>
    </row>
    <row r="16" spans="2:33" ht="16" x14ac:dyDescent="0.2">
      <c r="C16" t="s">
        <v>118</v>
      </c>
      <c r="F16" s="39">
        <v>180</v>
      </c>
      <c r="G16" s="40">
        <v>95</v>
      </c>
      <c r="H16" s="161">
        <v>180</v>
      </c>
      <c r="I16" s="39">
        <v>50</v>
      </c>
      <c r="J16" s="173">
        <v>50</v>
      </c>
      <c r="K16" s="178">
        <v>100</v>
      </c>
      <c r="L16" s="185">
        <v>442</v>
      </c>
      <c r="M16" s="183">
        <v>451</v>
      </c>
      <c r="N16" s="250"/>
      <c r="O16" s="183">
        <v>328</v>
      </c>
      <c r="P16" s="267">
        <v>352</v>
      </c>
      <c r="Q16" s="183">
        <v>366</v>
      </c>
      <c r="R16" s="267">
        <f>'5.Budget monitor'!O11</f>
        <v>243.17000000000002</v>
      </c>
      <c r="S16" s="183">
        <v>242</v>
      </c>
      <c r="T16" s="267">
        <f>'5.Budget monitor'!$O$11</f>
        <v>243.17000000000002</v>
      </c>
      <c r="U16" s="375">
        <v>254</v>
      </c>
      <c r="V16" s="328">
        <f>'5.Budget monitor'!O11</f>
        <v>243.17000000000002</v>
      </c>
      <c r="W16" s="328">
        <v>397</v>
      </c>
      <c r="X16" s="21" t="s">
        <v>3</v>
      </c>
      <c r="Z16" s="47">
        <v>102</v>
      </c>
      <c r="AC16" s="46"/>
      <c r="AD16" s="63"/>
      <c r="AE16" s="289">
        <f>SUM(AE9-AE11-AE12-AE13-AE14-AE15)</f>
        <v>22599.690000000002</v>
      </c>
    </row>
    <row r="17" spans="2:32" x14ac:dyDescent="0.2">
      <c r="C17" t="s">
        <v>37</v>
      </c>
      <c r="F17" s="39">
        <v>202</v>
      </c>
      <c r="G17" s="40">
        <v>38</v>
      </c>
      <c r="H17" s="161">
        <v>206</v>
      </c>
      <c r="I17" s="39">
        <v>0</v>
      </c>
      <c r="J17" s="173">
        <v>100</v>
      </c>
      <c r="K17" s="178">
        <v>210</v>
      </c>
      <c r="L17" s="185">
        <v>38</v>
      </c>
      <c r="M17" s="183">
        <v>39</v>
      </c>
      <c r="N17" s="250"/>
      <c r="O17" s="183">
        <f>N17*(1+$X$2)</f>
        <v>0</v>
      </c>
      <c r="P17" s="267">
        <v>0</v>
      </c>
      <c r="Q17" s="183">
        <v>0</v>
      </c>
      <c r="R17" s="267">
        <f>'5.Budget monitor'!O12</f>
        <v>0</v>
      </c>
      <c r="S17" s="183">
        <v>67</v>
      </c>
      <c r="T17" s="267">
        <f>'5.Budget monitor'!$O$12</f>
        <v>0</v>
      </c>
      <c r="U17" s="376">
        <v>67</v>
      </c>
      <c r="V17" s="183">
        <f>'5.Budget monitor'!O12</f>
        <v>0</v>
      </c>
      <c r="W17" s="328">
        <v>246</v>
      </c>
      <c r="X17" s="21" t="s">
        <v>3</v>
      </c>
      <c r="Z17" s="47">
        <v>215</v>
      </c>
      <c r="AC17" s="278" t="s">
        <v>196</v>
      </c>
      <c r="AD17" s="275"/>
      <c r="AE17" s="150"/>
    </row>
    <row r="18" spans="2:32" x14ac:dyDescent="0.2">
      <c r="C18" t="s">
        <v>119</v>
      </c>
      <c r="E18" t="s">
        <v>3</v>
      </c>
      <c r="F18" s="39" t="s">
        <v>3</v>
      </c>
      <c r="G18" s="40">
        <v>54</v>
      </c>
      <c r="H18" s="161">
        <v>54</v>
      </c>
      <c r="I18" s="39">
        <v>36</v>
      </c>
      <c r="J18" s="173">
        <v>72</v>
      </c>
      <c r="K18" s="178">
        <v>72</v>
      </c>
      <c r="L18" s="185">
        <v>1941</v>
      </c>
      <c r="M18" s="183">
        <v>1980</v>
      </c>
      <c r="N18" s="250"/>
      <c r="O18" s="183">
        <v>1885</v>
      </c>
      <c r="P18" s="267">
        <v>909</v>
      </c>
      <c r="Q18" s="183">
        <v>945</v>
      </c>
      <c r="R18" s="267">
        <f>'5.Budget monitor'!O10-'6.25-26 budget (approved)'!R15</f>
        <v>1163.9000000000001</v>
      </c>
      <c r="S18" s="183">
        <v>1040</v>
      </c>
      <c r="T18" s="267">
        <f>'5.Budget monitor'!$O$10-T15</f>
        <v>943.90000000000009</v>
      </c>
      <c r="U18" s="375">
        <v>1092</v>
      </c>
      <c r="V18" s="328">
        <v>605</v>
      </c>
      <c r="W18" s="328">
        <v>620</v>
      </c>
      <c r="X18" s="270" t="s">
        <v>215</v>
      </c>
      <c r="Z18" s="47">
        <v>72</v>
      </c>
      <c r="AC18" s="279" t="s">
        <v>197</v>
      </c>
      <c r="AD18" s="276"/>
      <c r="AE18" s="149"/>
    </row>
    <row r="19" spans="2:32" x14ac:dyDescent="0.2">
      <c r="C19" s="43" t="s">
        <v>120</v>
      </c>
      <c r="D19" s="43"/>
      <c r="E19" s="48"/>
      <c r="F19" s="39" t="s">
        <v>3</v>
      </c>
      <c r="G19" s="40">
        <v>376</v>
      </c>
      <c r="H19" s="161">
        <v>167</v>
      </c>
      <c r="I19" s="39">
        <v>100</v>
      </c>
      <c r="J19" s="173">
        <v>100</v>
      </c>
      <c r="K19" s="178">
        <v>257</v>
      </c>
      <c r="L19" s="185"/>
      <c r="M19" s="183"/>
      <c r="N19" s="250"/>
      <c r="O19" s="183"/>
      <c r="P19" s="267"/>
      <c r="Q19" s="183"/>
      <c r="R19" s="267"/>
      <c r="S19" s="183"/>
      <c r="T19" s="267"/>
      <c r="U19" s="376">
        <v>123</v>
      </c>
      <c r="V19" s="183">
        <v>120</v>
      </c>
      <c r="W19" s="328">
        <v>123</v>
      </c>
      <c r="X19" s="21"/>
      <c r="Y19" s="44" t="s">
        <v>3</v>
      </c>
      <c r="Z19" s="45">
        <v>262</v>
      </c>
      <c r="AA19" s="43"/>
      <c r="AC19" s="290">
        <f>S35/4</f>
        <v>6214</v>
      </c>
      <c r="AD19" s="277" t="s">
        <v>195</v>
      </c>
      <c r="AE19" s="291">
        <f>S35</f>
        <v>24856</v>
      </c>
    </row>
    <row r="20" spans="2:32" x14ac:dyDescent="0.2">
      <c r="C20" s="43" t="s">
        <v>121</v>
      </c>
      <c r="D20" s="43"/>
      <c r="E20" s="48"/>
      <c r="F20" s="39"/>
      <c r="G20" s="40">
        <v>0</v>
      </c>
      <c r="H20" s="161">
        <v>0</v>
      </c>
      <c r="I20" s="39">
        <v>0</v>
      </c>
      <c r="J20" s="173">
        <v>0</v>
      </c>
      <c r="K20" s="178">
        <v>300</v>
      </c>
      <c r="L20" s="185">
        <v>0</v>
      </c>
      <c r="M20" s="183">
        <v>0</v>
      </c>
      <c r="N20" s="250"/>
      <c r="O20" s="183">
        <f>N20</f>
        <v>0</v>
      </c>
      <c r="P20" s="267">
        <v>0</v>
      </c>
      <c r="Q20" s="183">
        <v>0</v>
      </c>
      <c r="R20" s="267">
        <v>0</v>
      </c>
      <c r="S20" s="183">
        <v>0</v>
      </c>
      <c r="T20" s="267">
        <v>0</v>
      </c>
      <c r="U20" s="376">
        <v>0</v>
      </c>
      <c r="V20" s="183">
        <v>0</v>
      </c>
      <c r="W20" s="328">
        <v>0</v>
      </c>
      <c r="X20" s="21"/>
      <c r="Y20" s="44"/>
      <c r="Z20" s="49">
        <v>300</v>
      </c>
      <c r="AA20" s="50" t="s">
        <v>122</v>
      </c>
      <c r="AC20" s="51"/>
      <c r="AD20" s="51"/>
      <c r="AE20" s="52"/>
    </row>
    <row r="21" spans="2:32" x14ac:dyDescent="0.2">
      <c r="C21" s="43" t="s">
        <v>123</v>
      </c>
      <c r="D21" s="43"/>
      <c r="E21" s="48"/>
      <c r="F21" s="39" t="s">
        <v>3</v>
      </c>
      <c r="G21" s="40">
        <v>0</v>
      </c>
      <c r="H21" s="161">
        <v>800</v>
      </c>
      <c r="I21" s="39">
        <v>0</v>
      </c>
      <c r="J21" s="173">
        <v>800</v>
      </c>
      <c r="K21" s="178">
        <v>500</v>
      </c>
      <c r="L21" s="185"/>
      <c r="M21" s="183">
        <v>500</v>
      </c>
      <c r="N21" s="250"/>
      <c r="O21" s="183">
        <v>1000</v>
      </c>
      <c r="P21" s="267">
        <v>1000</v>
      </c>
      <c r="Q21" s="271">
        <v>2200</v>
      </c>
      <c r="R21" s="267">
        <v>2200</v>
      </c>
      <c r="S21" s="271">
        <v>1300</v>
      </c>
      <c r="T21" s="267">
        <f>S21</f>
        <v>1300</v>
      </c>
      <c r="U21" s="378">
        <v>1750</v>
      </c>
      <c r="V21" s="271">
        <f>U21</f>
        <v>1750</v>
      </c>
      <c r="W21" s="271">
        <v>2400</v>
      </c>
      <c r="X21" s="21" t="s">
        <v>216</v>
      </c>
      <c r="Y21" s="44" t="s">
        <v>3</v>
      </c>
      <c r="Z21" s="45">
        <v>500</v>
      </c>
      <c r="AA21" t="s">
        <v>3</v>
      </c>
      <c r="AB21" t="s">
        <v>3</v>
      </c>
      <c r="AE21" s="53"/>
      <c r="AF21" s="53"/>
    </row>
    <row r="22" spans="2:32" ht="16" x14ac:dyDescent="0.2">
      <c r="B22" s="22" t="s">
        <v>125</v>
      </c>
      <c r="F22" s="39" t="s">
        <v>3</v>
      </c>
      <c r="G22" s="54"/>
      <c r="H22" s="161"/>
      <c r="I22" s="39" t="s">
        <v>3</v>
      </c>
      <c r="J22" s="173"/>
      <c r="K22" s="179"/>
      <c r="L22" s="185">
        <v>2174</v>
      </c>
      <c r="M22" s="183">
        <v>1500</v>
      </c>
      <c r="N22" s="250"/>
      <c r="O22" s="183">
        <v>2373</v>
      </c>
      <c r="P22" s="267">
        <v>1034</v>
      </c>
      <c r="Q22" s="183">
        <v>2468</v>
      </c>
      <c r="R22" s="267">
        <f>'5.Budget monitor'!O15</f>
        <v>1236</v>
      </c>
      <c r="S22" s="183">
        <v>2715</v>
      </c>
      <c r="T22" s="267">
        <f>'5.Budget monitor'!$O$15</f>
        <v>1236</v>
      </c>
      <c r="U22" s="375">
        <v>2850.75</v>
      </c>
      <c r="V22" s="328">
        <f>'5.Budget monitor'!O15</f>
        <v>1236</v>
      </c>
      <c r="W22" s="183">
        <v>2851</v>
      </c>
      <c r="X22" s="21" t="s">
        <v>5</v>
      </c>
      <c r="Z22" s="47"/>
      <c r="AF22" s="292"/>
    </row>
    <row r="23" spans="2:32" x14ac:dyDescent="0.2">
      <c r="C23" s="43" t="s">
        <v>126</v>
      </c>
      <c r="F23" s="39">
        <v>510</v>
      </c>
      <c r="G23" s="40">
        <v>575</v>
      </c>
      <c r="H23" s="161">
        <v>587</v>
      </c>
      <c r="I23" s="39">
        <v>412</v>
      </c>
      <c r="J23" s="173">
        <v>412</v>
      </c>
      <c r="K23" s="178">
        <v>450</v>
      </c>
      <c r="L23" s="185"/>
      <c r="M23" s="183"/>
      <c r="N23" s="250"/>
      <c r="O23" s="183"/>
      <c r="P23" s="267"/>
      <c r="Q23" s="183"/>
      <c r="R23" s="267"/>
      <c r="S23" s="183"/>
      <c r="T23" s="267"/>
      <c r="U23" s="376"/>
      <c r="V23" s="183"/>
      <c r="W23" s="183"/>
      <c r="X23" s="21" t="s">
        <v>3</v>
      </c>
      <c r="Y23" s="44" t="s">
        <v>3</v>
      </c>
      <c r="Z23" s="45">
        <v>460</v>
      </c>
      <c r="AA23" s="43"/>
      <c r="AE23" s="133"/>
    </row>
    <row r="24" spans="2:32" x14ac:dyDescent="0.2">
      <c r="C24" t="s">
        <v>127</v>
      </c>
      <c r="F24" s="39">
        <v>300</v>
      </c>
      <c r="G24" s="40" t="s">
        <v>3</v>
      </c>
      <c r="H24" s="161">
        <v>306</v>
      </c>
      <c r="I24" s="39">
        <v>163</v>
      </c>
      <c r="J24" s="173">
        <v>163</v>
      </c>
      <c r="K24" s="178">
        <v>200</v>
      </c>
      <c r="L24" s="185"/>
      <c r="M24" s="183"/>
      <c r="N24" s="250"/>
      <c r="O24" s="183"/>
      <c r="P24" s="267"/>
      <c r="Q24" s="183"/>
      <c r="R24" s="267"/>
      <c r="S24" s="183"/>
      <c r="T24" s="267"/>
      <c r="U24" s="376"/>
      <c r="V24" s="183"/>
      <c r="W24" s="183"/>
      <c r="X24" s="55" t="s">
        <v>3</v>
      </c>
      <c r="Z24" s="47">
        <v>200</v>
      </c>
    </row>
    <row r="25" spans="2:32" x14ac:dyDescent="0.2">
      <c r="C25" t="s">
        <v>128</v>
      </c>
      <c r="F25" s="39" t="s">
        <v>3</v>
      </c>
      <c r="G25" s="40">
        <v>73</v>
      </c>
      <c r="H25" s="161">
        <v>500</v>
      </c>
      <c r="I25" s="39">
        <v>0</v>
      </c>
      <c r="J25" s="173">
        <v>500</v>
      </c>
      <c r="K25" s="178">
        <v>500</v>
      </c>
      <c r="L25" s="185"/>
      <c r="M25" s="183">
        <v>500</v>
      </c>
      <c r="N25" s="250"/>
      <c r="O25" s="183">
        <v>500</v>
      </c>
      <c r="P25" s="267">
        <v>500</v>
      </c>
      <c r="Q25" s="271">
        <v>500</v>
      </c>
      <c r="R25" s="267">
        <v>500</v>
      </c>
      <c r="S25" s="271">
        <v>1000</v>
      </c>
      <c r="T25" s="267">
        <f>S25</f>
        <v>1000</v>
      </c>
      <c r="U25" s="378">
        <v>1000</v>
      </c>
      <c r="V25" s="271">
        <f>U25</f>
        <v>1000</v>
      </c>
      <c r="W25" s="271">
        <v>1275</v>
      </c>
      <c r="X25" s="21" t="s">
        <v>124</v>
      </c>
      <c r="Y25" s="44" t="s">
        <v>3</v>
      </c>
      <c r="Z25" s="47">
        <v>500</v>
      </c>
      <c r="AC25" t="s">
        <v>205</v>
      </c>
    </row>
    <row r="26" spans="2:32" x14ac:dyDescent="0.2">
      <c r="F26" s="39"/>
      <c r="G26" s="40"/>
      <c r="H26" s="161"/>
      <c r="I26" s="39"/>
      <c r="J26" s="173"/>
      <c r="K26" s="178"/>
      <c r="L26" s="185"/>
      <c r="M26" s="183"/>
      <c r="N26" s="250"/>
      <c r="O26" s="183"/>
      <c r="P26" s="267"/>
      <c r="Q26" s="183"/>
      <c r="R26" s="267"/>
      <c r="S26" s="183"/>
      <c r="T26" s="267"/>
      <c r="U26" s="376"/>
      <c r="V26" s="183"/>
      <c r="W26" s="183"/>
      <c r="X26" s="21"/>
      <c r="Y26" s="44"/>
      <c r="Z26" s="45"/>
      <c r="AA26" s="43"/>
      <c r="AC26" t="s">
        <v>200</v>
      </c>
    </row>
    <row r="27" spans="2:32" x14ac:dyDescent="0.2">
      <c r="B27" s="22" t="s">
        <v>129</v>
      </c>
      <c r="F27" s="39"/>
      <c r="G27" s="40"/>
      <c r="H27" s="161"/>
      <c r="I27" s="39"/>
      <c r="J27" s="173"/>
      <c r="K27" s="178"/>
      <c r="L27" s="185"/>
      <c r="M27" s="183"/>
      <c r="N27" s="250"/>
      <c r="O27" s="183"/>
      <c r="P27" s="267"/>
      <c r="Q27" s="183"/>
      <c r="R27" s="267"/>
      <c r="S27" s="183"/>
      <c r="T27" s="267"/>
      <c r="U27" s="376"/>
      <c r="V27" s="183"/>
      <c r="W27" s="183"/>
      <c r="X27" s="21"/>
      <c r="Y27" s="44"/>
      <c r="Z27" s="45"/>
      <c r="AA27" s="43"/>
      <c r="AC27" t="s">
        <v>199</v>
      </c>
    </row>
    <row r="28" spans="2:32" x14ac:dyDescent="0.2">
      <c r="C28" t="s">
        <v>130</v>
      </c>
      <c r="F28" s="39" t="s">
        <v>3</v>
      </c>
      <c r="G28" s="40" t="s">
        <v>3</v>
      </c>
      <c r="H28" s="161"/>
      <c r="I28" s="39" t="s">
        <v>3</v>
      </c>
      <c r="J28" s="173">
        <v>1210</v>
      </c>
      <c r="K28" s="178">
        <v>0</v>
      </c>
      <c r="L28" s="185"/>
      <c r="M28" s="183"/>
      <c r="N28" s="250"/>
      <c r="O28" s="183"/>
      <c r="P28" s="267"/>
      <c r="Q28" s="183"/>
      <c r="R28" s="267"/>
      <c r="S28" s="183"/>
      <c r="T28" s="267"/>
      <c r="U28" s="376"/>
      <c r="V28" s="183"/>
      <c r="W28" s="183"/>
      <c r="X28" s="55" t="s">
        <v>3</v>
      </c>
      <c r="Z28" s="47">
        <v>0</v>
      </c>
      <c r="AA28" t="s">
        <v>3</v>
      </c>
    </row>
    <row r="29" spans="2:32" x14ac:dyDescent="0.2">
      <c r="B29" s="22"/>
      <c r="C29" t="s">
        <v>131</v>
      </c>
      <c r="F29" s="39" t="s">
        <v>3</v>
      </c>
      <c r="G29" s="40" t="s">
        <v>3</v>
      </c>
      <c r="H29" s="161"/>
      <c r="I29" s="39">
        <v>904</v>
      </c>
      <c r="J29" s="173">
        <v>3404</v>
      </c>
      <c r="K29" s="178">
        <v>0</v>
      </c>
      <c r="L29" s="185"/>
      <c r="M29" s="183"/>
      <c r="N29" s="250"/>
      <c r="O29" s="183"/>
      <c r="P29" s="267"/>
      <c r="Q29" s="183"/>
      <c r="R29" s="267"/>
      <c r="S29" s="183"/>
      <c r="T29" s="267"/>
      <c r="U29" s="376"/>
      <c r="V29" s="183"/>
      <c r="W29" s="183"/>
      <c r="X29" s="21" t="s">
        <v>3</v>
      </c>
      <c r="Y29" s="44" t="s">
        <v>3</v>
      </c>
      <c r="Z29" s="47">
        <v>0</v>
      </c>
    </row>
    <row r="30" spans="2:32" x14ac:dyDescent="0.2">
      <c r="B30" s="22" t="s">
        <v>132</v>
      </c>
      <c r="F30" s="39"/>
      <c r="G30" s="54"/>
      <c r="H30" s="161"/>
      <c r="I30" s="39" t="s">
        <v>3</v>
      </c>
      <c r="J30" s="173"/>
      <c r="K30" s="179"/>
      <c r="L30" s="185"/>
      <c r="M30" s="183"/>
      <c r="N30" s="250"/>
      <c r="O30" s="183"/>
      <c r="P30" s="267"/>
      <c r="Q30" s="183"/>
      <c r="R30" s="267"/>
      <c r="S30" s="183"/>
      <c r="T30" s="267"/>
      <c r="U30" s="376"/>
      <c r="V30" s="183"/>
      <c r="W30" s="183"/>
      <c r="X30" s="56"/>
      <c r="Z30" s="47"/>
    </row>
    <row r="31" spans="2:32" x14ac:dyDescent="0.2">
      <c r="B31" t="s">
        <v>3</v>
      </c>
      <c r="C31" t="s">
        <v>133</v>
      </c>
      <c r="F31" s="39">
        <v>1822</v>
      </c>
      <c r="G31" s="40">
        <v>1820</v>
      </c>
      <c r="H31" s="161">
        <v>1600</v>
      </c>
      <c r="I31" s="39">
        <v>231</v>
      </c>
      <c r="J31" s="173">
        <v>1600</v>
      </c>
      <c r="K31" s="178">
        <v>1600</v>
      </c>
      <c r="L31" s="185">
        <v>2487</v>
      </c>
      <c r="M31" s="183">
        <v>1600</v>
      </c>
      <c r="N31" s="250"/>
      <c r="O31" s="183">
        <v>1600</v>
      </c>
      <c r="P31" s="267">
        <v>1900</v>
      </c>
      <c r="Q31" s="271">
        <f>P31</f>
        <v>1900</v>
      </c>
      <c r="R31" s="267">
        <f>'5.Budget monitor'!O13</f>
        <v>1925</v>
      </c>
      <c r="S31" s="271">
        <v>1600</v>
      </c>
      <c r="T31" s="267">
        <f>'5.Budget monitor'!$O$13</f>
        <v>1925</v>
      </c>
      <c r="U31" s="378">
        <v>1600</v>
      </c>
      <c r="V31" s="271">
        <f>'5.Budget monitor'!P13</f>
        <v>1600</v>
      </c>
      <c r="W31" s="271">
        <v>1600</v>
      </c>
      <c r="X31" s="21" t="s">
        <v>78</v>
      </c>
      <c r="Y31" s="44" t="s">
        <v>3</v>
      </c>
      <c r="Z31" s="47">
        <v>1650</v>
      </c>
    </row>
    <row r="32" spans="2:32" x14ac:dyDescent="0.2">
      <c r="C32" t="s">
        <v>42</v>
      </c>
      <c r="F32" s="39" t="s">
        <v>3</v>
      </c>
      <c r="G32" s="40" t="s">
        <v>3</v>
      </c>
      <c r="H32" s="161"/>
      <c r="I32" s="39" t="s">
        <v>3</v>
      </c>
      <c r="J32" s="173">
        <v>0</v>
      </c>
      <c r="K32" s="178">
        <v>0</v>
      </c>
      <c r="L32" s="185"/>
      <c r="M32" s="183">
        <v>300</v>
      </c>
      <c r="N32" s="250"/>
      <c r="O32" s="280">
        <v>300</v>
      </c>
      <c r="P32" s="267"/>
      <c r="Q32" s="271">
        <f>O32</f>
        <v>300</v>
      </c>
      <c r="R32" s="267">
        <f>'5.Budget monitor'!O17</f>
        <v>15284.09</v>
      </c>
      <c r="S32" s="183">
        <v>330</v>
      </c>
      <c r="T32" s="267">
        <f>'5.Budget monitor'!$O$17</f>
        <v>15284.09</v>
      </c>
      <c r="U32" s="377">
        <v>330</v>
      </c>
      <c r="V32" s="333">
        <f>'5.Budget monitor'!O17+'5.Budget monitor'!O13-'6.25-26 budget (approved)'!V31</f>
        <v>15609.09</v>
      </c>
      <c r="W32" s="328">
        <v>1265</v>
      </c>
      <c r="X32" s="21" t="s">
        <v>3</v>
      </c>
      <c r="Y32" s="41" t="s">
        <v>3</v>
      </c>
      <c r="Z32" s="47">
        <v>0</v>
      </c>
    </row>
    <row r="33" spans="2:33" x14ac:dyDescent="0.2">
      <c r="C33" t="s">
        <v>134</v>
      </c>
      <c r="F33" s="39">
        <v>4554</v>
      </c>
      <c r="G33" s="57">
        <v>4500</v>
      </c>
      <c r="H33" s="161">
        <v>4600</v>
      </c>
      <c r="I33" s="39">
        <v>4500</v>
      </c>
      <c r="J33" s="173">
        <v>4500</v>
      </c>
      <c r="K33" s="180">
        <v>4600</v>
      </c>
      <c r="L33" s="187">
        <f>4600+2315</f>
        <v>6915</v>
      </c>
      <c r="M33" s="183">
        <v>4692</v>
      </c>
      <c r="N33" s="251"/>
      <c r="O33" s="280">
        <v>4786</v>
      </c>
      <c r="P33" s="267">
        <v>5786</v>
      </c>
      <c r="Q33" s="183">
        <v>4977</v>
      </c>
      <c r="R33" s="267">
        <f>'5.Budget monitor'!O21</f>
        <v>8883.1999999999989</v>
      </c>
      <c r="S33" s="183">
        <v>5475</v>
      </c>
      <c r="T33" s="267">
        <f>'5.Budget monitor'!$O$21</f>
        <v>8883.1999999999989</v>
      </c>
      <c r="U33" s="375">
        <v>5748.75</v>
      </c>
      <c r="V33" s="328">
        <f>'5.Budget monitor'!N21</f>
        <v>8883.1999999999989</v>
      </c>
      <c r="W33" s="328">
        <v>5892</v>
      </c>
      <c r="X33" s="21" t="s">
        <v>207</v>
      </c>
      <c r="Z33" s="47">
        <v>4700</v>
      </c>
      <c r="AC33" s="387">
        <f>W33/2</f>
        <v>2946</v>
      </c>
    </row>
    <row r="34" spans="2:33" ht="16" thickBot="1" x14ac:dyDescent="0.25">
      <c r="C34" s="22" t="s">
        <v>135</v>
      </c>
      <c r="F34" s="58">
        <v>0</v>
      </c>
      <c r="G34" s="57">
        <v>0</v>
      </c>
      <c r="H34" s="162"/>
      <c r="I34" s="39" t="s">
        <v>3</v>
      </c>
      <c r="J34" s="174">
        <v>0</v>
      </c>
      <c r="K34" s="180">
        <v>0</v>
      </c>
      <c r="L34" s="187"/>
      <c r="M34" s="184"/>
      <c r="N34" s="197"/>
      <c r="O34" s="184"/>
      <c r="P34" s="268"/>
      <c r="Q34" s="184"/>
      <c r="R34" s="268"/>
      <c r="S34" s="184"/>
      <c r="T34" s="268"/>
      <c r="U34" s="379"/>
      <c r="V34" s="184"/>
      <c r="W34" s="184"/>
      <c r="X34" s="157" t="s">
        <v>3</v>
      </c>
      <c r="Z34" s="59">
        <v>0</v>
      </c>
    </row>
    <row r="35" spans="2:33" s="22" customFormat="1" ht="16" thickBot="1" x14ac:dyDescent="0.25">
      <c r="B35" s="22" t="s">
        <v>136</v>
      </c>
      <c r="F35" s="60">
        <f t="shared" ref="F35:N35" si="0">SUM(F8:F34)</f>
        <v>17196</v>
      </c>
      <c r="G35" s="61">
        <f t="shared" si="0"/>
        <v>15966</v>
      </c>
      <c r="H35" s="163">
        <f t="shared" si="0"/>
        <v>19195</v>
      </c>
      <c r="I35" s="62">
        <f t="shared" si="0"/>
        <v>12695</v>
      </c>
      <c r="J35" s="175">
        <f t="shared" si="0"/>
        <v>21753</v>
      </c>
      <c r="K35" s="181">
        <f t="shared" si="0"/>
        <v>18486</v>
      </c>
      <c r="L35" s="188">
        <f t="shared" si="0"/>
        <v>20791</v>
      </c>
      <c r="M35" s="252">
        <f t="shared" si="0"/>
        <v>21206</v>
      </c>
      <c r="N35" s="252">
        <f t="shared" si="0"/>
        <v>0</v>
      </c>
      <c r="O35" s="252">
        <f t="shared" ref="O35:T35" si="1">SUM(O8:O34)</f>
        <v>22172</v>
      </c>
      <c r="P35" s="252">
        <f t="shared" si="1"/>
        <v>20161</v>
      </c>
      <c r="Q35" s="252">
        <f t="shared" si="1"/>
        <v>23288</v>
      </c>
      <c r="R35" s="252">
        <f t="shared" si="1"/>
        <v>40319.21</v>
      </c>
      <c r="S35" s="252">
        <f t="shared" si="1"/>
        <v>24856</v>
      </c>
      <c r="T35" s="252">
        <f t="shared" si="1"/>
        <v>41763.149999999994</v>
      </c>
      <c r="U35" s="380">
        <v>26338</v>
      </c>
      <c r="V35" s="184">
        <f>SUM(V8:V33)</f>
        <v>41761.78</v>
      </c>
      <c r="W35" s="184">
        <v>27106</v>
      </c>
      <c r="X35" s="253" t="s">
        <v>3</v>
      </c>
      <c r="Y35" s="254"/>
      <c r="Z35" s="255">
        <f>SUM(Z8:Z34)</f>
        <v>18847</v>
      </c>
      <c r="AA35" s="254"/>
      <c r="AC35"/>
      <c r="AD35"/>
      <c r="AE35"/>
      <c r="AF35"/>
    </row>
    <row r="36" spans="2:33" x14ac:dyDescent="0.2">
      <c r="F36" s="63"/>
      <c r="G36" s="63"/>
      <c r="H36" s="63"/>
      <c r="I36" s="63" t="s">
        <v>3</v>
      </c>
      <c r="J36" s="63" t="s">
        <v>3</v>
      </c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Z36" s="63"/>
      <c r="AC36" s="22"/>
      <c r="AD36" s="22"/>
      <c r="AE36" s="22"/>
      <c r="AF36" s="22"/>
    </row>
    <row r="37" spans="2:33" s="22" customFormat="1" ht="19" x14ac:dyDescent="0.25">
      <c r="B37" s="16" t="s">
        <v>137</v>
      </c>
      <c r="F37" s="65"/>
      <c r="G37" s="65"/>
      <c r="H37" s="65"/>
      <c r="I37" s="65"/>
      <c r="J37" s="65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Z37" s="65"/>
      <c r="AC37"/>
      <c r="AD37"/>
      <c r="AE37"/>
      <c r="AF37"/>
    </row>
    <row r="38" spans="2:33" ht="16" thickBot="1" x14ac:dyDescent="0.25">
      <c r="B38" s="22" t="s">
        <v>138</v>
      </c>
      <c r="F38" s="63"/>
      <c r="G38" s="63"/>
      <c r="H38" s="63"/>
      <c r="I38" s="63"/>
      <c r="J38" s="63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Z38" s="63"/>
      <c r="AC38" s="22"/>
      <c r="AD38" s="22"/>
      <c r="AE38" s="22"/>
      <c r="AF38" s="22"/>
    </row>
    <row r="39" spans="2:33" ht="19" x14ac:dyDescent="0.25">
      <c r="C39" t="s">
        <v>139</v>
      </c>
      <c r="F39" s="67" t="s">
        <v>140</v>
      </c>
      <c r="G39" s="68">
        <v>800</v>
      </c>
      <c r="H39" s="165" t="s">
        <v>3</v>
      </c>
      <c r="I39" s="63" t="s">
        <v>3</v>
      </c>
      <c r="J39" s="39" t="s">
        <v>3</v>
      </c>
      <c r="K39" s="176">
        <v>0</v>
      </c>
      <c r="L39" s="147">
        <v>0</v>
      </c>
      <c r="M39" s="147">
        <v>0</v>
      </c>
      <c r="N39" s="57"/>
      <c r="O39" s="147"/>
      <c r="P39" s="57"/>
      <c r="Q39" s="147"/>
      <c r="R39" s="57"/>
      <c r="S39" s="147"/>
      <c r="T39" s="57"/>
      <c r="U39" s="147"/>
      <c r="V39" s="147"/>
      <c r="W39" s="147"/>
      <c r="X39" s="36" t="s">
        <v>3</v>
      </c>
      <c r="Z39" s="69">
        <v>0</v>
      </c>
      <c r="AC39" s="88" t="s">
        <v>163</v>
      </c>
      <c r="AD39" s="88"/>
      <c r="AE39" s="89" t="s">
        <v>45</v>
      </c>
      <c r="AF39" s="293">
        <v>20137</v>
      </c>
      <c r="AG39" s="257">
        <f>(M48-AF39)/AF39</f>
        <v>5.3086358444654119E-2</v>
      </c>
    </row>
    <row r="40" spans="2:33" ht="19" x14ac:dyDescent="0.25">
      <c r="C40" t="s">
        <v>141</v>
      </c>
      <c r="F40" s="70" t="s">
        <v>140</v>
      </c>
      <c r="G40" s="71">
        <v>2500</v>
      </c>
      <c r="H40" s="166" t="s">
        <v>3</v>
      </c>
      <c r="I40" s="63" t="s">
        <v>3</v>
      </c>
      <c r="J40" s="39" t="s">
        <v>3</v>
      </c>
      <c r="K40" s="176">
        <v>0</v>
      </c>
      <c r="L40" s="147">
        <v>0</v>
      </c>
      <c r="M40" s="147">
        <v>0</v>
      </c>
      <c r="N40" s="57"/>
      <c r="O40" s="147"/>
      <c r="P40" s="57"/>
      <c r="Q40" s="147"/>
      <c r="R40" s="57"/>
      <c r="S40" s="147"/>
      <c r="T40" s="57"/>
      <c r="U40" s="147"/>
      <c r="V40" s="147"/>
      <c r="W40" s="147"/>
      <c r="X40" s="36" t="s">
        <v>3</v>
      </c>
      <c r="Y40" s="41" t="s">
        <v>3</v>
      </c>
      <c r="Z40" s="47">
        <v>0</v>
      </c>
      <c r="AC40" s="88" t="s">
        <v>186</v>
      </c>
      <c r="AD40" s="88"/>
      <c r="AE40" s="245"/>
      <c r="AF40" s="293">
        <v>21205</v>
      </c>
      <c r="AG40" s="257">
        <f t="shared" ref="AG40:AG45" si="2">1-(AF39/AF40)</f>
        <v>5.0365479839660443E-2</v>
      </c>
    </row>
    <row r="41" spans="2:33" ht="19" x14ac:dyDescent="0.25">
      <c r="C41" t="s">
        <v>142</v>
      </c>
      <c r="F41" s="72" t="s">
        <v>3</v>
      </c>
      <c r="G41" s="39">
        <v>165</v>
      </c>
      <c r="H41" s="166">
        <v>0</v>
      </c>
      <c r="I41" s="63">
        <v>156</v>
      </c>
      <c r="J41" s="39">
        <v>156</v>
      </c>
      <c r="K41" s="176">
        <v>160</v>
      </c>
      <c r="L41" s="147">
        <v>0</v>
      </c>
      <c r="M41" s="147">
        <v>0</v>
      </c>
      <c r="N41" s="57"/>
      <c r="O41" s="147">
        <v>0</v>
      </c>
      <c r="P41" s="57"/>
      <c r="Q41" s="147">
        <v>0</v>
      </c>
      <c r="R41" s="57"/>
      <c r="S41" s="147">
        <v>0</v>
      </c>
      <c r="T41" s="57"/>
      <c r="U41" s="147">
        <v>0</v>
      </c>
      <c r="V41" s="147"/>
      <c r="W41" s="147">
        <v>0</v>
      </c>
      <c r="X41" s="73" t="s">
        <v>3</v>
      </c>
      <c r="Z41" s="47">
        <v>160</v>
      </c>
      <c r="AB41" t="s">
        <v>3</v>
      </c>
      <c r="AC41" s="88" t="s">
        <v>192</v>
      </c>
      <c r="AD41" s="88"/>
      <c r="AE41" s="245"/>
      <c r="AF41" s="293">
        <f>O48</f>
        <v>22146</v>
      </c>
      <c r="AG41" s="258">
        <f t="shared" si="2"/>
        <v>4.2490743249345209E-2</v>
      </c>
    </row>
    <row r="42" spans="2:33" ht="19" x14ac:dyDescent="0.25">
      <c r="B42" s="22" t="s">
        <v>3</v>
      </c>
      <c r="C42" t="s">
        <v>49</v>
      </c>
      <c r="F42" s="74" t="s">
        <v>3</v>
      </c>
      <c r="G42" s="39" t="s">
        <v>3</v>
      </c>
      <c r="H42" s="166" t="s">
        <v>3</v>
      </c>
      <c r="I42" s="63">
        <v>1210</v>
      </c>
      <c r="J42" s="39">
        <v>1210</v>
      </c>
      <c r="K42" s="176">
        <v>0</v>
      </c>
      <c r="L42" s="147">
        <v>2500</v>
      </c>
      <c r="M42" s="147">
        <v>0</v>
      </c>
      <c r="N42" s="57"/>
      <c r="O42" s="147">
        <v>0</v>
      </c>
      <c r="P42" s="57"/>
      <c r="Q42" s="147">
        <v>0</v>
      </c>
      <c r="R42" s="57"/>
      <c r="S42" s="147">
        <v>0</v>
      </c>
      <c r="T42" s="57"/>
      <c r="U42" s="147">
        <v>0</v>
      </c>
      <c r="V42" s="147"/>
      <c r="W42" s="147">
        <v>0</v>
      </c>
      <c r="X42" s="36" t="s">
        <v>3</v>
      </c>
      <c r="Y42" s="41" t="s">
        <v>3</v>
      </c>
      <c r="Z42" s="47">
        <v>0</v>
      </c>
      <c r="AC42" s="88" t="s">
        <v>198</v>
      </c>
      <c r="AD42" s="88"/>
      <c r="AE42" s="245"/>
      <c r="AF42" s="293">
        <v>23286</v>
      </c>
      <c r="AG42" s="258">
        <f t="shared" si="2"/>
        <v>4.8956454522030457E-2</v>
      </c>
    </row>
    <row r="43" spans="2:33" ht="19" x14ac:dyDescent="0.25">
      <c r="B43" s="22" t="s">
        <v>143</v>
      </c>
      <c r="C43" t="s">
        <v>3</v>
      </c>
      <c r="F43" s="74" t="s">
        <v>3</v>
      </c>
      <c r="G43" s="39">
        <v>15</v>
      </c>
      <c r="H43" s="166">
        <v>90</v>
      </c>
      <c r="I43" s="63">
        <v>17</v>
      </c>
      <c r="J43" s="39">
        <v>35</v>
      </c>
      <c r="K43" s="176">
        <v>50</v>
      </c>
      <c r="L43" s="147">
        <v>50</v>
      </c>
      <c r="M43" s="147">
        <f>L43</f>
        <v>50</v>
      </c>
      <c r="N43" s="57">
        <v>15</v>
      </c>
      <c r="O43" s="147">
        <v>26</v>
      </c>
      <c r="P43" s="57">
        <v>2</v>
      </c>
      <c r="Q43" s="147">
        <v>2</v>
      </c>
      <c r="R43" s="57">
        <v>2</v>
      </c>
      <c r="S43" s="147">
        <v>2</v>
      </c>
      <c r="T43" s="57">
        <v>160</v>
      </c>
      <c r="U43" s="147">
        <f>T43</f>
        <v>160</v>
      </c>
      <c r="V43" s="147"/>
      <c r="W43" s="147">
        <v>257</v>
      </c>
      <c r="X43" s="21"/>
      <c r="Z43" s="47">
        <v>100</v>
      </c>
      <c r="AC43" s="88" t="s">
        <v>203</v>
      </c>
      <c r="AD43" s="88"/>
      <c r="AE43" s="245"/>
      <c r="AF43" s="293">
        <f>S48</f>
        <v>24854</v>
      </c>
      <c r="AG43" s="258">
        <f t="shared" si="2"/>
        <v>6.3088436468978881E-2</v>
      </c>
    </row>
    <row r="44" spans="2:33" s="22" customFormat="1" ht="20" thickBot="1" x14ac:dyDescent="0.3">
      <c r="B44" s="22" t="s">
        <v>144</v>
      </c>
      <c r="F44" s="75">
        <f t="shared" ref="F44:L44" si="3">SUM(F39:F43)</f>
        <v>0</v>
      </c>
      <c r="G44" s="76">
        <f t="shared" si="3"/>
        <v>3480</v>
      </c>
      <c r="H44" s="167">
        <f t="shared" si="3"/>
        <v>90</v>
      </c>
      <c r="I44" s="65">
        <f t="shared" si="3"/>
        <v>1383</v>
      </c>
      <c r="J44" s="40">
        <f t="shared" si="3"/>
        <v>1401</v>
      </c>
      <c r="K44" s="176">
        <f t="shared" si="3"/>
        <v>210</v>
      </c>
      <c r="L44" s="147">
        <f t="shared" si="3"/>
        <v>2550</v>
      </c>
      <c r="M44" s="147">
        <v>0</v>
      </c>
      <c r="N44" s="147">
        <f>SUM(N39:N43)</f>
        <v>15</v>
      </c>
      <c r="O44" s="147">
        <f>SUM(O39:O43)</f>
        <v>26</v>
      </c>
      <c r="P44" s="57"/>
      <c r="Q44" s="147">
        <f>SUM(Q39:Q43)</f>
        <v>2</v>
      </c>
      <c r="R44" s="57"/>
      <c r="S44" s="147">
        <f>SUM(S39:S43)</f>
        <v>2</v>
      </c>
      <c r="T44" s="57"/>
      <c r="U44" s="147">
        <f>SUM(U39:U43)</f>
        <v>160</v>
      </c>
      <c r="V44" s="147"/>
      <c r="W44" s="147">
        <f>W43</f>
        <v>257</v>
      </c>
      <c r="X44" s="36" t="s">
        <v>3</v>
      </c>
      <c r="Z44" s="77">
        <f>SUM(Z39:Z43)</f>
        <v>260</v>
      </c>
      <c r="AC44" s="88" t="s">
        <v>206</v>
      </c>
      <c r="AD44" s="88"/>
      <c r="AE44" s="245"/>
      <c r="AF44" s="293">
        <f>U48</f>
        <v>26178</v>
      </c>
      <c r="AG44" s="258">
        <f t="shared" si="2"/>
        <v>5.057682023072807E-2</v>
      </c>
    </row>
    <row r="45" spans="2:33" ht="20" thickBot="1" x14ac:dyDescent="0.3">
      <c r="F45" s="63"/>
      <c r="G45" s="63"/>
      <c r="H45" s="164"/>
      <c r="I45" s="63"/>
      <c r="J45" s="63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9"/>
      <c r="Z45" s="63"/>
      <c r="AC45" s="88" t="s">
        <v>219</v>
      </c>
      <c r="AD45" s="88"/>
      <c r="AE45" s="245"/>
      <c r="AF45" s="293">
        <f>W48</f>
        <v>26849</v>
      </c>
      <c r="AG45" s="258">
        <f t="shared" si="2"/>
        <v>2.4991619799620057E-2</v>
      </c>
    </row>
    <row r="46" spans="2:33" x14ac:dyDescent="0.2">
      <c r="B46" s="22" t="s">
        <v>136</v>
      </c>
      <c r="F46" s="80" t="s">
        <v>3</v>
      </c>
      <c r="G46" s="81">
        <f>G35</f>
        <v>15966</v>
      </c>
      <c r="H46" s="165">
        <f>H35</f>
        <v>19195</v>
      </c>
      <c r="I46" s="63" t="s">
        <v>3</v>
      </c>
      <c r="J46" s="39">
        <f t="shared" ref="J46:O46" si="4">J35</f>
        <v>21753</v>
      </c>
      <c r="K46" s="180">
        <f t="shared" si="4"/>
        <v>18486</v>
      </c>
      <c r="L46" s="147">
        <f t="shared" si="4"/>
        <v>20791</v>
      </c>
      <c r="M46" s="184">
        <f t="shared" si="4"/>
        <v>21206</v>
      </c>
      <c r="N46" s="184">
        <f t="shared" si="4"/>
        <v>0</v>
      </c>
      <c r="O46" s="184">
        <f t="shared" si="4"/>
        <v>22172</v>
      </c>
      <c r="P46" s="184"/>
      <c r="Q46" s="184">
        <f t="shared" ref="Q46:S46" si="5">Q35</f>
        <v>23288</v>
      </c>
      <c r="R46" s="184"/>
      <c r="S46" s="184">
        <f t="shared" si="5"/>
        <v>24856</v>
      </c>
      <c r="T46" s="184"/>
      <c r="U46" s="184">
        <f t="shared" ref="U46" si="6">U35</f>
        <v>26338</v>
      </c>
      <c r="V46" s="184"/>
      <c r="W46" s="184">
        <f>W35</f>
        <v>27106</v>
      </c>
      <c r="X46" s="36" t="s">
        <v>3</v>
      </c>
      <c r="Z46" s="69">
        <f>Z35</f>
        <v>18847</v>
      </c>
    </row>
    <row r="47" spans="2:33" ht="16" thickBot="1" x14ac:dyDescent="0.25">
      <c r="B47" s="22" t="s">
        <v>145</v>
      </c>
      <c r="E47" t="s">
        <v>3</v>
      </c>
      <c r="F47" s="82" t="s">
        <v>3</v>
      </c>
      <c r="G47" s="58">
        <f>G44</f>
        <v>3480</v>
      </c>
      <c r="H47" s="168">
        <f>H44</f>
        <v>90</v>
      </c>
      <c r="I47" s="63" t="s">
        <v>3</v>
      </c>
      <c r="J47" s="58">
        <f t="shared" ref="J47:O47" si="7">J44</f>
        <v>1401</v>
      </c>
      <c r="K47" s="191">
        <f t="shared" si="7"/>
        <v>210</v>
      </c>
      <c r="L47" s="146">
        <f t="shared" si="7"/>
        <v>2550</v>
      </c>
      <c r="M47" s="146">
        <f t="shared" si="7"/>
        <v>0</v>
      </c>
      <c r="N47" s="146">
        <f t="shared" si="7"/>
        <v>15</v>
      </c>
      <c r="O47" s="146">
        <f t="shared" si="7"/>
        <v>26</v>
      </c>
      <c r="P47" s="146"/>
      <c r="Q47" s="146">
        <f t="shared" ref="Q47:S47" si="8">Q44</f>
        <v>2</v>
      </c>
      <c r="R47" s="146"/>
      <c r="S47" s="146">
        <f t="shared" si="8"/>
        <v>2</v>
      </c>
      <c r="T47" s="146"/>
      <c r="U47" s="381">
        <f t="shared" ref="U47" si="9">U44</f>
        <v>160</v>
      </c>
      <c r="V47" s="381"/>
      <c r="W47" s="381">
        <f>W44</f>
        <v>257</v>
      </c>
      <c r="X47" s="36" t="s">
        <v>3</v>
      </c>
      <c r="Z47" s="59">
        <f>Z44</f>
        <v>260</v>
      </c>
    </row>
    <row r="48" spans="2:33" s="22" customFormat="1" ht="17" thickBot="1" x14ac:dyDescent="0.25">
      <c r="B48" s="22" t="s">
        <v>146</v>
      </c>
      <c r="F48" s="83" t="s">
        <v>3</v>
      </c>
      <c r="G48" s="83">
        <f>SUM(G46-G47)</f>
        <v>12486</v>
      </c>
      <c r="H48" s="169">
        <f>H35-H44</f>
        <v>19105</v>
      </c>
      <c r="I48" s="65"/>
      <c r="J48" s="83">
        <f>SUM(J46-J47)</f>
        <v>20352</v>
      </c>
      <c r="K48" s="192">
        <f>SUM(K35-K44)</f>
        <v>18276</v>
      </c>
      <c r="L48" s="193">
        <f>SUM(L35-L44)</f>
        <v>18241</v>
      </c>
      <c r="M48" s="198">
        <f>SUM(M35-M44)</f>
        <v>21206</v>
      </c>
      <c r="N48" s="198">
        <f>SUM(N35-N44)</f>
        <v>-15</v>
      </c>
      <c r="O48" s="198">
        <f>SUM(O35-O44)</f>
        <v>22146</v>
      </c>
      <c r="P48" s="265"/>
      <c r="Q48" s="198">
        <f>SUM(Q35-Q44)</f>
        <v>23286</v>
      </c>
      <c r="R48" s="265"/>
      <c r="S48" s="198">
        <f>SUM(S35-S44)</f>
        <v>24854</v>
      </c>
      <c r="T48" s="265"/>
      <c r="U48" s="198">
        <f>SUM(U35-U44)</f>
        <v>26178</v>
      </c>
      <c r="V48" s="198"/>
      <c r="W48" s="198">
        <f>SUM(W35-W44)</f>
        <v>26849</v>
      </c>
      <c r="X48" s="84" t="s">
        <v>3</v>
      </c>
      <c r="Z48" s="60">
        <f>SUM(Z35-Z44)</f>
        <v>18587</v>
      </c>
      <c r="AA48" s="48"/>
      <c r="AC48"/>
      <c r="AD48"/>
      <c r="AE48"/>
      <c r="AF48"/>
    </row>
    <row r="49" spans="4:33" ht="19" x14ac:dyDescent="0.25"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85" t="s">
        <v>3</v>
      </c>
      <c r="Y49" s="86" t="s">
        <v>3</v>
      </c>
      <c r="AB49" s="87" t="s">
        <v>3</v>
      </c>
      <c r="AC49" s="22"/>
      <c r="AD49" s="22"/>
      <c r="AE49" s="22"/>
      <c r="AF49" s="22"/>
    </row>
    <row r="50" spans="4:33" ht="19" x14ac:dyDescent="0.2">
      <c r="D50" s="417" t="s">
        <v>220</v>
      </c>
      <c r="E50" s="416"/>
      <c r="F50" s="416"/>
      <c r="G50" s="416"/>
      <c r="H50" s="416"/>
      <c r="I50" s="416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6"/>
      <c r="AC50" s="416"/>
      <c r="AD50" s="416"/>
      <c r="AE50" s="416"/>
      <c r="AF50" s="416"/>
      <c r="AG50" s="416"/>
    </row>
  </sheetData>
  <mergeCells count="1">
    <mergeCell ref="D50:AG50"/>
  </mergeCells>
  <pageMargins left="0.25" right="0.25" top="0.75000000000000011" bottom="0.75000000000000011" header="0.30000000000000004" footer="0.30000000000000004"/>
  <pageSetup paperSize="9" scale="63" orientation="landscape"/>
  <headerFooter alignWithMargins="0">
    <oddHeader>&amp;R&amp;"Calibri,Regular"&amp;K000000&amp;A              &amp;D</oddHeader>
    <oddFooter>&amp;C&amp;"Calibri,Regular"&amp;12&amp;K000000Kirton &amp; Falkenham Parish Council Financial report 2025/26</oddFooter>
  </headerFooter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10C21-24D4-3C49-A386-95C721050909}">
  <sheetPr>
    <pageSetUpPr fitToPage="1"/>
  </sheetPr>
  <dimension ref="B1:AI50"/>
  <sheetViews>
    <sheetView view="pageLayout" topLeftCell="A7" zoomScale="150" zoomScaleNormal="100" zoomScaleSheetLayoutView="100" zoomScalePageLayoutView="150" workbookViewId="0">
      <selection activeCell="AI46" sqref="AI46"/>
    </sheetView>
  </sheetViews>
  <sheetFormatPr baseColWidth="10" defaultColWidth="8.83203125" defaultRowHeight="15" x14ac:dyDescent="0.2"/>
  <cols>
    <col min="1" max="1" width="3.33203125" customWidth="1"/>
    <col min="2" max="2" width="13.5" customWidth="1"/>
    <col min="5" max="5" width="6.1640625" customWidth="1"/>
    <col min="6" max="6" width="9.1640625" hidden="1" customWidth="1"/>
    <col min="7" max="7" width="7.83203125" hidden="1" customWidth="1"/>
    <col min="8" max="8" width="8.5" hidden="1" customWidth="1"/>
    <col min="9" max="9" width="9.33203125" hidden="1" customWidth="1"/>
    <col min="10" max="10" width="9.5" hidden="1" customWidth="1"/>
    <col min="11" max="12" width="10.5" hidden="1" customWidth="1"/>
    <col min="13" max="13" width="9.6640625" hidden="1" customWidth="1"/>
    <col min="14" max="14" width="10.5" hidden="1" customWidth="1"/>
    <col min="15" max="15" width="0.1640625" hidden="1" customWidth="1"/>
    <col min="16" max="16" width="10.5" hidden="1" customWidth="1"/>
    <col min="17" max="17" width="8.33203125" hidden="1" customWidth="1"/>
    <col min="18" max="18" width="10.5" hidden="1" customWidth="1"/>
    <col min="19" max="19" width="10.1640625" hidden="1" customWidth="1"/>
    <col min="20" max="20" width="8.33203125" bestFit="1" customWidth="1"/>
    <col min="21" max="21" width="6.6640625" customWidth="1"/>
    <col min="22" max="22" width="10.1640625" customWidth="1"/>
    <col min="23" max="25" width="10.5" customWidth="1"/>
    <col min="26" max="26" width="16.83203125" customWidth="1"/>
    <col min="27" max="27" width="3.33203125" hidden="1" customWidth="1"/>
    <col min="28" max="29" width="8.83203125" hidden="1" customWidth="1"/>
    <col min="30" max="30" width="4.6640625" customWidth="1"/>
    <col min="31" max="31" width="11.5" customWidth="1"/>
    <col min="32" max="32" width="1.5" customWidth="1"/>
    <col min="33" max="33" width="15.1640625" customWidth="1"/>
    <col min="34" max="34" width="10.5" customWidth="1"/>
  </cols>
  <sheetData>
    <row r="1" spans="2:35" ht="21" x14ac:dyDescent="0.25">
      <c r="B1" s="16" t="s">
        <v>265</v>
      </c>
      <c r="J1" s="17"/>
      <c r="K1" s="17"/>
      <c r="L1" s="17"/>
      <c r="M1" s="199"/>
      <c r="N1" s="17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248">
        <v>46085</v>
      </c>
    </row>
    <row r="2" spans="2:35" ht="21" x14ac:dyDescent="0.25">
      <c r="B2" s="18"/>
      <c r="J2" s="19"/>
      <c r="R2" t="s">
        <v>161</v>
      </c>
      <c r="Z2" s="382">
        <v>3.5000000000000003E-2</v>
      </c>
      <c r="AB2" s="20" t="s">
        <v>90</v>
      </c>
      <c r="AE2" s="156" t="s">
        <v>91</v>
      </c>
      <c r="AF2" s="156"/>
      <c r="AG2" s="155"/>
    </row>
    <row r="3" spans="2:35" ht="16" thickBot="1" x14ac:dyDescent="0.25">
      <c r="B3" s="19"/>
      <c r="J3" s="19"/>
      <c r="AC3" s="21" t="s">
        <v>92</v>
      </c>
      <c r="AE3" s="154" t="s">
        <v>93</v>
      </c>
      <c r="AF3" s="272"/>
      <c r="AG3" s="153"/>
    </row>
    <row r="4" spans="2:35" s="22" customFormat="1" ht="20" thickBot="1" x14ac:dyDescent="0.3">
      <c r="B4" s="16" t="s">
        <v>94</v>
      </c>
      <c r="F4" s="23" t="s">
        <v>95</v>
      </c>
      <c r="G4" s="24">
        <v>2018</v>
      </c>
      <c r="H4" s="23" t="s">
        <v>164</v>
      </c>
      <c r="I4" s="190" t="s">
        <v>96</v>
      </c>
      <c r="J4" s="24">
        <v>2019</v>
      </c>
      <c r="K4" s="23" t="s">
        <v>187</v>
      </c>
      <c r="L4" s="152">
        <v>2020</v>
      </c>
      <c r="M4" s="152" t="s">
        <v>188</v>
      </c>
      <c r="N4" s="60" t="s">
        <v>189</v>
      </c>
      <c r="O4" s="152" t="s">
        <v>191</v>
      </c>
      <c r="P4" s="60" t="s">
        <v>189</v>
      </c>
      <c r="Q4" s="152" t="s">
        <v>193</v>
      </c>
      <c r="R4" s="60" t="s">
        <v>189</v>
      </c>
      <c r="S4" s="152" t="s">
        <v>202</v>
      </c>
      <c r="T4" s="60" t="s">
        <v>189</v>
      </c>
      <c r="U4" s="371" t="s">
        <v>204</v>
      </c>
      <c r="V4" s="152" t="s">
        <v>189</v>
      </c>
      <c r="W4" s="152" t="s">
        <v>214</v>
      </c>
      <c r="X4" s="152" t="s">
        <v>189</v>
      </c>
      <c r="Y4" s="152" t="s">
        <v>266</v>
      </c>
      <c r="Z4" s="25" t="s">
        <v>97</v>
      </c>
      <c r="AB4" s="26" t="s">
        <v>98</v>
      </c>
      <c r="AC4" s="27"/>
      <c r="AE4" s="28">
        <v>46113</v>
      </c>
      <c r="AF4" s="273"/>
      <c r="AG4" s="285">
        <f>'5.Budget monitor'!B28</f>
        <v>51994.579999999994</v>
      </c>
      <c r="AH4" s="21" t="s">
        <v>101</v>
      </c>
    </row>
    <row r="5" spans="2:35" x14ac:dyDescent="0.2">
      <c r="F5" s="29" t="s">
        <v>99</v>
      </c>
      <c r="G5" s="30" t="s">
        <v>100</v>
      </c>
      <c r="H5" s="158" t="s">
        <v>99</v>
      </c>
      <c r="I5" s="31" t="s">
        <v>100</v>
      </c>
      <c r="J5" s="170" t="s">
        <v>101</v>
      </c>
      <c r="K5" s="177" t="s">
        <v>99</v>
      </c>
      <c r="L5" s="189" t="s">
        <v>101</v>
      </c>
      <c r="M5" s="151" t="s">
        <v>160</v>
      </c>
      <c r="N5" s="194"/>
      <c r="O5" s="151" t="s">
        <v>160</v>
      </c>
      <c r="P5" s="170"/>
      <c r="Q5" s="269"/>
      <c r="R5" s="170"/>
      <c r="S5" s="269"/>
      <c r="T5" s="170"/>
      <c r="U5" s="372"/>
      <c r="V5" s="151"/>
      <c r="W5" s="151"/>
      <c r="X5" s="151"/>
      <c r="Y5" s="151"/>
      <c r="Z5" s="63"/>
      <c r="AE5" s="32" t="s">
        <v>102</v>
      </c>
      <c r="AF5" s="65"/>
      <c r="AG5" s="286"/>
    </row>
    <row r="6" spans="2:35" x14ac:dyDescent="0.2">
      <c r="F6" s="33" t="s">
        <v>3</v>
      </c>
      <c r="G6" s="34"/>
      <c r="H6" s="159" t="s">
        <v>3</v>
      </c>
      <c r="I6" s="35" t="s">
        <v>103</v>
      </c>
      <c r="J6" s="171" t="s">
        <v>104</v>
      </c>
      <c r="K6" s="178"/>
      <c r="L6" s="186" t="s">
        <v>104</v>
      </c>
      <c r="M6" s="182"/>
      <c r="N6" s="195"/>
      <c r="O6" s="182"/>
      <c r="P6" s="171"/>
      <c r="Q6" s="182"/>
      <c r="R6" s="171"/>
      <c r="S6" s="182"/>
      <c r="T6" s="171"/>
      <c r="U6" s="373"/>
      <c r="V6" s="182"/>
      <c r="W6" s="182"/>
      <c r="X6" s="182"/>
      <c r="Y6" s="182"/>
      <c r="Z6" s="36" t="s">
        <v>3</v>
      </c>
      <c r="AE6" s="37" t="s">
        <v>105</v>
      </c>
      <c r="AF6" s="274"/>
      <c r="AG6" s="287">
        <v>2000</v>
      </c>
      <c r="AH6" s="21" t="s">
        <v>194</v>
      </c>
    </row>
    <row r="7" spans="2:35" ht="16" thickBot="1" x14ac:dyDescent="0.25">
      <c r="B7" s="22" t="s">
        <v>106</v>
      </c>
      <c r="F7" s="38" t="s">
        <v>3</v>
      </c>
      <c r="G7" s="34"/>
      <c r="H7" s="160" t="s">
        <v>3</v>
      </c>
      <c r="J7" s="172"/>
      <c r="K7" s="179" t="s">
        <v>3</v>
      </c>
      <c r="L7" s="185"/>
      <c r="M7" s="148"/>
      <c r="N7" s="196"/>
      <c r="O7" s="148"/>
      <c r="P7" s="266"/>
      <c r="Q7" s="148"/>
      <c r="R7" s="266"/>
      <c r="S7" s="148"/>
      <c r="T7" s="266"/>
      <c r="U7" s="374"/>
      <c r="V7" s="148"/>
      <c r="W7" s="148"/>
      <c r="X7" s="148"/>
      <c r="Y7" s="148"/>
      <c r="Z7" s="36" t="s">
        <v>3</v>
      </c>
      <c r="AE7" s="37" t="s">
        <v>3</v>
      </c>
      <c r="AF7" s="274"/>
      <c r="AG7" s="287" t="s">
        <v>3</v>
      </c>
    </row>
    <row r="8" spans="2:35" x14ac:dyDescent="0.2">
      <c r="C8" t="s">
        <v>107</v>
      </c>
      <c r="F8" s="39">
        <v>5882</v>
      </c>
      <c r="G8" s="40">
        <v>5892</v>
      </c>
      <c r="H8" s="161">
        <v>6997</v>
      </c>
      <c r="I8" s="39">
        <v>3806</v>
      </c>
      <c r="J8" s="173">
        <v>6009</v>
      </c>
      <c r="K8" s="178">
        <v>7031</v>
      </c>
      <c r="L8" s="185">
        <v>4899</v>
      </c>
      <c r="M8" s="183">
        <v>7216</v>
      </c>
      <c r="N8" s="250"/>
      <c r="O8" s="183">
        <v>7315</v>
      </c>
      <c r="P8" s="267">
        <v>6483</v>
      </c>
      <c r="Q8" s="183">
        <v>7608</v>
      </c>
      <c r="R8" s="267">
        <f>'5.Budget monitor'!O6</f>
        <v>6832.06</v>
      </c>
      <c r="S8" s="183">
        <v>8676</v>
      </c>
      <c r="T8" s="267">
        <f>S8</f>
        <v>8676</v>
      </c>
      <c r="U8" s="375">
        <v>9109.8000000000011</v>
      </c>
      <c r="V8" s="328">
        <v>8041</v>
      </c>
      <c r="W8" s="328">
        <v>7723</v>
      </c>
      <c r="X8" s="183">
        <f>'5.Budget monitor'!O6</f>
        <v>6832.06</v>
      </c>
      <c r="Y8" s="328">
        <v>8359</v>
      </c>
      <c r="Z8" s="270" t="s">
        <v>215</v>
      </c>
      <c r="AA8" s="41" t="s">
        <v>3</v>
      </c>
      <c r="AB8" s="42">
        <v>7171</v>
      </c>
      <c r="AC8" s="43"/>
      <c r="AE8" s="37" t="s">
        <v>3</v>
      </c>
      <c r="AF8" s="274"/>
      <c r="AG8" s="287" t="s">
        <v>3</v>
      </c>
    </row>
    <row r="9" spans="2:35" ht="16" x14ac:dyDescent="0.2">
      <c r="C9" t="s">
        <v>108</v>
      </c>
      <c r="F9" s="39">
        <v>770</v>
      </c>
      <c r="G9" s="40">
        <v>397</v>
      </c>
      <c r="H9" s="161">
        <v>535</v>
      </c>
      <c r="I9" s="39">
        <v>298</v>
      </c>
      <c r="J9" s="173">
        <v>450</v>
      </c>
      <c r="K9" s="178">
        <v>500</v>
      </c>
      <c r="L9" s="185"/>
      <c r="M9" s="183"/>
      <c r="N9" s="250"/>
      <c r="O9" s="183"/>
      <c r="P9" s="267"/>
      <c r="Q9" s="183"/>
      <c r="R9" s="267"/>
      <c r="S9" s="183"/>
      <c r="T9" s="267"/>
      <c r="U9" s="376"/>
      <c r="V9" s="183"/>
      <c r="W9" s="183"/>
      <c r="X9" s="183"/>
      <c r="Y9" s="183"/>
      <c r="Z9" s="21" t="s">
        <v>162</v>
      </c>
      <c r="AA9" s="44" t="s">
        <v>3</v>
      </c>
      <c r="AB9" s="45">
        <v>510</v>
      </c>
      <c r="AC9" s="43"/>
      <c r="AE9" s="46"/>
      <c r="AF9" s="63"/>
      <c r="AG9" s="288">
        <f>SUM(AG4:AG8)</f>
        <v>53994.579999999994</v>
      </c>
    </row>
    <row r="10" spans="2:35" x14ac:dyDescent="0.2">
      <c r="C10" t="s">
        <v>109</v>
      </c>
      <c r="F10" s="39">
        <v>125</v>
      </c>
      <c r="G10" s="40">
        <v>76</v>
      </c>
      <c r="H10" s="161">
        <v>128</v>
      </c>
      <c r="I10" s="39">
        <v>15</v>
      </c>
      <c r="J10" s="173">
        <v>75</v>
      </c>
      <c r="K10" s="178">
        <v>75</v>
      </c>
      <c r="L10" s="185"/>
      <c r="M10" s="183"/>
      <c r="N10" s="250"/>
      <c r="O10" s="183"/>
      <c r="P10" s="267"/>
      <c r="Q10" s="183"/>
      <c r="R10" s="267"/>
      <c r="S10" s="183"/>
      <c r="T10" s="267"/>
      <c r="U10" s="376"/>
      <c r="V10" s="183"/>
      <c r="W10" s="183"/>
      <c r="X10" s="183"/>
      <c r="Y10" s="183"/>
      <c r="Z10" s="21" t="s">
        <v>162</v>
      </c>
      <c r="AB10" s="47">
        <v>75</v>
      </c>
      <c r="AE10" s="32" t="s">
        <v>110</v>
      </c>
      <c r="AF10" s="65"/>
      <c r="AG10" s="287"/>
    </row>
    <row r="11" spans="2:35" x14ac:dyDescent="0.2">
      <c r="C11" t="s">
        <v>111</v>
      </c>
      <c r="F11" s="39">
        <v>30</v>
      </c>
      <c r="G11" s="40">
        <v>33</v>
      </c>
      <c r="H11" s="161">
        <v>34</v>
      </c>
      <c r="I11" s="39">
        <v>34</v>
      </c>
      <c r="J11" s="173">
        <v>34</v>
      </c>
      <c r="K11" s="178">
        <v>35</v>
      </c>
      <c r="L11" s="185">
        <v>35</v>
      </c>
      <c r="M11" s="183">
        <v>36</v>
      </c>
      <c r="N11" s="250"/>
      <c r="O11" s="183">
        <v>37</v>
      </c>
      <c r="P11" s="267">
        <v>40</v>
      </c>
      <c r="Q11" s="183">
        <v>42</v>
      </c>
      <c r="R11" s="267">
        <v>0</v>
      </c>
      <c r="S11" s="183">
        <v>46</v>
      </c>
      <c r="T11" s="267">
        <v>0</v>
      </c>
      <c r="U11" s="377">
        <v>46</v>
      </c>
      <c r="V11" s="333">
        <v>0</v>
      </c>
      <c r="W11" s="271">
        <v>0</v>
      </c>
      <c r="X11" s="271">
        <v>0</v>
      </c>
      <c r="Y11" s="271">
        <v>0</v>
      </c>
      <c r="Z11" s="21" t="s">
        <v>3</v>
      </c>
      <c r="AB11" s="47">
        <v>36</v>
      </c>
      <c r="AE11" s="37" t="s">
        <v>112</v>
      </c>
      <c r="AF11" s="274"/>
      <c r="AG11" s="287">
        <v>3300</v>
      </c>
    </row>
    <row r="12" spans="2:35" x14ac:dyDescent="0.2">
      <c r="C12" t="s">
        <v>39</v>
      </c>
      <c r="F12" s="39">
        <v>202</v>
      </c>
      <c r="G12" s="40">
        <v>175</v>
      </c>
      <c r="H12" s="161">
        <v>206</v>
      </c>
      <c r="I12" s="39">
        <v>20</v>
      </c>
      <c r="J12" s="173">
        <v>20</v>
      </c>
      <c r="K12" s="178">
        <v>250</v>
      </c>
      <c r="L12" s="185">
        <v>0</v>
      </c>
      <c r="M12" s="183">
        <v>0</v>
      </c>
      <c r="N12" s="250"/>
      <c r="O12" s="183">
        <v>9</v>
      </c>
      <c r="P12" s="267">
        <v>0</v>
      </c>
      <c r="Q12" s="183">
        <v>0</v>
      </c>
      <c r="R12" s="267">
        <v>0</v>
      </c>
      <c r="S12" s="183">
        <v>0</v>
      </c>
      <c r="T12" s="267">
        <v>0</v>
      </c>
      <c r="U12" s="377">
        <v>0</v>
      </c>
      <c r="V12" s="333">
        <v>0</v>
      </c>
      <c r="W12" s="271">
        <v>0</v>
      </c>
      <c r="X12" s="271">
        <v>0</v>
      </c>
      <c r="Y12" s="271">
        <v>0</v>
      </c>
      <c r="Z12" s="21" t="s">
        <v>3</v>
      </c>
      <c r="AB12" s="47">
        <v>250</v>
      </c>
      <c r="AE12" s="37" t="s">
        <v>308</v>
      </c>
      <c r="AF12" s="274"/>
      <c r="AG12" s="287">
        <v>2500</v>
      </c>
      <c r="AH12" s="412" t="s">
        <v>309</v>
      </c>
    </row>
    <row r="13" spans="2:35" x14ac:dyDescent="0.2">
      <c r="C13" t="s">
        <v>8</v>
      </c>
      <c r="F13" s="39">
        <v>1822</v>
      </c>
      <c r="G13" s="40">
        <v>1238</v>
      </c>
      <c r="H13" s="161">
        <v>1600</v>
      </c>
      <c r="I13" s="39">
        <v>1368</v>
      </c>
      <c r="J13" s="173">
        <v>1368</v>
      </c>
      <c r="K13" s="178">
        <v>1100</v>
      </c>
      <c r="L13" s="185">
        <v>1046</v>
      </c>
      <c r="M13" s="183">
        <v>1067</v>
      </c>
      <c r="N13" s="250"/>
      <c r="O13" s="183">
        <f>1200</f>
        <v>1200</v>
      </c>
      <c r="P13" s="267">
        <v>1164</v>
      </c>
      <c r="Q13" s="183">
        <v>1211</v>
      </c>
      <c r="R13" s="267">
        <f>'5.Budget monitor'!O9</f>
        <v>1504.62</v>
      </c>
      <c r="S13" s="183">
        <v>1351</v>
      </c>
      <c r="T13" s="267">
        <f>'5.Budget monitor'!$O$9</f>
        <v>1504.62</v>
      </c>
      <c r="U13" s="376">
        <v>1350</v>
      </c>
      <c r="V13" s="183">
        <f>'5.Budget monitor'!O9</f>
        <v>1504.62</v>
      </c>
      <c r="W13" s="328">
        <v>1514.42725</v>
      </c>
      <c r="X13" s="183">
        <f>'5.Budget monitor'!O9</f>
        <v>1504.62</v>
      </c>
      <c r="Y13" s="328">
        <v>1567</v>
      </c>
      <c r="Z13" s="21"/>
      <c r="AB13" s="47">
        <v>1125</v>
      </c>
      <c r="AE13" s="37" t="s">
        <v>114</v>
      </c>
      <c r="AF13" s="274"/>
      <c r="AG13" s="287">
        <v>18150</v>
      </c>
      <c r="AH13" s="334" t="s">
        <v>271</v>
      </c>
      <c r="AI13" s="334"/>
    </row>
    <row r="14" spans="2:35" x14ac:dyDescent="0.2">
      <c r="C14" t="s">
        <v>115</v>
      </c>
      <c r="F14" s="39">
        <v>607</v>
      </c>
      <c r="G14" s="40">
        <v>524</v>
      </c>
      <c r="H14" s="161">
        <v>565</v>
      </c>
      <c r="I14" s="39">
        <v>558</v>
      </c>
      <c r="J14" s="173">
        <v>558</v>
      </c>
      <c r="K14" s="178">
        <v>575</v>
      </c>
      <c r="L14" s="185">
        <v>564</v>
      </c>
      <c r="M14" s="183">
        <v>575</v>
      </c>
      <c r="N14" s="250"/>
      <c r="O14" s="183">
        <v>655</v>
      </c>
      <c r="P14" s="267">
        <v>558</v>
      </c>
      <c r="Q14" s="183">
        <v>580</v>
      </c>
      <c r="R14" s="267">
        <f>'5.Budget monitor'!O7</f>
        <v>541.16999999999996</v>
      </c>
      <c r="S14" s="183">
        <v>614</v>
      </c>
      <c r="T14" s="267">
        <f>'5.Budget monitor'!$O$7</f>
        <v>541.16999999999996</v>
      </c>
      <c r="U14" s="375">
        <v>644.70000000000005</v>
      </c>
      <c r="V14" s="328">
        <f>U14</f>
        <v>644.70000000000005</v>
      </c>
      <c r="W14" s="328">
        <v>660.8175</v>
      </c>
      <c r="X14" s="183">
        <v>541.16999999999996</v>
      </c>
      <c r="Y14" s="328">
        <v>683.5</v>
      </c>
      <c r="Z14" s="21" t="s">
        <v>3</v>
      </c>
      <c r="AB14" s="47">
        <v>585</v>
      </c>
      <c r="AE14" s="37" t="s">
        <v>19</v>
      </c>
      <c r="AF14" s="274"/>
      <c r="AG14" s="287">
        <v>10775</v>
      </c>
      <c r="AH14" s="334" t="s">
        <v>270</v>
      </c>
      <c r="AI14" s="334"/>
    </row>
    <row r="15" spans="2:35" ht="16" thickBot="1" x14ac:dyDescent="0.25">
      <c r="C15" t="s">
        <v>116</v>
      </c>
      <c r="F15" s="39">
        <v>190</v>
      </c>
      <c r="G15" s="40">
        <v>100</v>
      </c>
      <c r="H15" s="161">
        <v>130</v>
      </c>
      <c r="I15" s="39">
        <v>200</v>
      </c>
      <c r="J15" s="173">
        <v>328</v>
      </c>
      <c r="K15" s="178">
        <v>131</v>
      </c>
      <c r="L15" s="185">
        <v>250</v>
      </c>
      <c r="M15" s="183">
        <v>750</v>
      </c>
      <c r="N15" s="250"/>
      <c r="O15" s="183">
        <v>184</v>
      </c>
      <c r="P15" s="267">
        <v>435</v>
      </c>
      <c r="Q15" s="183">
        <v>191</v>
      </c>
      <c r="R15" s="267">
        <f>'3.Payments'!D21</f>
        <v>6</v>
      </c>
      <c r="S15" s="183">
        <v>400</v>
      </c>
      <c r="T15" s="267">
        <f>'3.Payments'!D12+'3.Payments'!D25</f>
        <v>226</v>
      </c>
      <c r="U15" s="376">
        <v>495</v>
      </c>
      <c r="V15" s="183">
        <f>'5.Budget monitor'!D10+'5.Budget monitor'!F10</f>
        <v>130.80000000000001</v>
      </c>
      <c r="W15" s="328">
        <v>538.125</v>
      </c>
      <c r="X15" s="183">
        <f>'3.Payments'!D12+'3.Payments'!D34</f>
        <v>472</v>
      </c>
      <c r="Y15" s="183">
        <v>488.5</v>
      </c>
      <c r="Z15" s="21"/>
      <c r="AB15" s="47">
        <v>134</v>
      </c>
      <c r="AE15" s="37" t="s">
        <v>117</v>
      </c>
      <c r="AF15" s="274"/>
      <c r="AG15" s="287">
        <v>0</v>
      </c>
    </row>
    <row r="16" spans="2:35" ht="16" x14ac:dyDescent="0.2">
      <c r="C16" t="s">
        <v>118</v>
      </c>
      <c r="F16" s="39">
        <v>180</v>
      </c>
      <c r="G16" s="40">
        <v>95</v>
      </c>
      <c r="H16" s="161">
        <v>180</v>
      </c>
      <c r="I16" s="39">
        <v>50</v>
      </c>
      <c r="J16" s="173">
        <v>50</v>
      </c>
      <c r="K16" s="178">
        <v>100</v>
      </c>
      <c r="L16" s="185">
        <v>442</v>
      </c>
      <c r="M16" s="183">
        <v>451</v>
      </c>
      <c r="N16" s="250"/>
      <c r="O16" s="183">
        <v>328</v>
      </c>
      <c r="P16" s="267">
        <v>352</v>
      </c>
      <c r="Q16" s="183">
        <v>366</v>
      </c>
      <c r="R16" s="267">
        <f>'5.Budget monitor'!O11</f>
        <v>243.17000000000002</v>
      </c>
      <c r="S16" s="183">
        <v>242</v>
      </c>
      <c r="T16" s="267">
        <f>'5.Budget monitor'!$O$11</f>
        <v>243.17000000000002</v>
      </c>
      <c r="U16" s="375">
        <v>254</v>
      </c>
      <c r="V16" s="328">
        <f>'5.Budget monitor'!O11</f>
        <v>243.17000000000002</v>
      </c>
      <c r="W16" s="328">
        <v>397</v>
      </c>
      <c r="X16" s="183">
        <f>'5.Budget monitor'!O11</f>
        <v>243.17000000000002</v>
      </c>
      <c r="Y16" s="183">
        <v>291.5</v>
      </c>
      <c r="Z16" s="21" t="s">
        <v>3</v>
      </c>
      <c r="AB16" s="47">
        <v>102</v>
      </c>
      <c r="AE16" s="46"/>
      <c r="AF16" s="63"/>
      <c r="AG16" s="289">
        <f>SUM(AG9-AG11-AG12-AG13-AG14-AG15)</f>
        <v>19269.579999999994</v>
      </c>
    </row>
    <row r="17" spans="2:34" x14ac:dyDescent="0.2">
      <c r="C17" t="s">
        <v>37</v>
      </c>
      <c r="F17" s="39">
        <v>202</v>
      </c>
      <c r="G17" s="40">
        <v>38</v>
      </c>
      <c r="H17" s="161">
        <v>206</v>
      </c>
      <c r="I17" s="39">
        <v>0</v>
      </c>
      <c r="J17" s="173">
        <v>100</v>
      </c>
      <c r="K17" s="178">
        <v>210</v>
      </c>
      <c r="L17" s="185">
        <v>38</v>
      </c>
      <c r="M17" s="183">
        <v>39</v>
      </c>
      <c r="N17" s="250"/>
      <c r="O17" s="183">
        <f>N17*(1+$Z$2)</f>
        <v>0</v>
      </c>
      <c r="P17" s="267">
        <v>0</v>
      </c>
      <c r="Q17" s="183">
        <v>0</v>
      </c>
      <c r="R17" s="267">
        <f>'5.Budget monitor'!O12</f>
        <v>0</v>
      </c>
      <c r="S17" s="183">
        <v>67</v>
      </c>
      <c r="T17" s="267">
        <f>'5.Budget monitor'!$O$12</f>
        <v>0</v>
      </c>
      <c r="U17" s="376">
        <v>67</v>
      </c>
      <c r="V17" s="183">
        <f>'5.Budget monitor'!O12</f>
        <v>0</v>
      </c>
      <c r="W17" s="328">
        <v>246</v>
      </c>
      <c r="X17" s="183">
        <f>'5.Budget monitor'!O12</f>
        <v>0</v>
      </c>
      <c r="Y17" s="271">
        <v>99.5</v>
      </c>
      <c r="Z17" s="21" t="s">
        <v>268</v>
      </c>
      <c r="AB17" s="47">
        <v>215</v>
      </c>
      <c r="AE17" s="278" t="s">
        <v>196</v>
      </c>
      <c r="AF17" s="275"/>
      <c r="AG17" s="150"/>
    </row>
    <row r="18" spans="2:34" x14ac:dyDescent="0.2">
      <c r="C18" t="s">
        <v>119</v>
      </c>
      <c r="E18" t="s">
        <v>3</v>
      </c>
      <c r="F18" s="39" t="s">
        <v>3</v>
      </c>
      <c r="G18" s="40">
        <v>54</v>
      </c>
      <c r="H18" s="161">
        <v>54</v>
      </c>
      <c r="I18" s="39">
        <v>36</v>
      </c>
      <c r="J18" s="173">
        <v>72</v>
      </c>
      <c r="K18" s="178">
        <v>72</v>
      </c>
      <c r="L18" s="185">
        <v>1941</v>
      </c>
      <c r="M18" s="183">
        <v>1980</v>
      </c>
      <c r="N18" s="250"/>
      <c r="O18" s="183">
        <v>1885</v>
      </c>
      <c r="P18" s="267">
        <v>909</v>
      </c>
      <c r="Q18" s="183">
        <v>945</v>
      </c>
      <c r="R18" s="267">
        <f>'5.Budget monitor'!O10-'7.26-27 budget (Approved)'!R15</f>
        <v>1163.9000000000001</v>
      </c>
      <c r="S18" s="183">
        <v>1040</v>
      </c>
      <c r="T18" s="267">
        <f>'5.Budget monitor'!$O$10-T15</f>
        <v>943.90000000000009</v>
      </c>
      <c r="U18" s="375">
        <v>1092</v>
      </c>
      <c r="V18" s="328">
        <v>605</v>
      </c>
      <c r="W18" s="328">
        <v>620.125</v>
      </c>
      <c r="X18" s="183">
        <f>'5.Budget monitor'!O10-'7.26-27 budget (Approved)'!X15</f>
        <v>697.90000000000009</v>
      </c>
      <c r="Y18" s="183">
        <v>685</v>
      </c>
      <c r="Z18" s="270" t="s">
        <v>215</v>
      </c>
      <c r="AB18" s="47">
        <v>72</v>
      </c>
      <c r="AE18" s="279" t="s">
        <v>197</v>
      </c>
      <c r="AF18" s="276"/>
      <c r="AG18" s="149"/>
    </row>
    <row r="19" spans="2:34" x14ac:dyDescent="0.2">
      <c r="C19" s="43" t="s">
        <v>120</v>
      </c>
      <c r="D19" s="43"/>
      <c r="E19" s="48"/>
      <c r="F19" s="39" t="s">
        <v>3</v>
      </c>
      <c r="G19" s="40">
        <v>376</v>
      </c>
      <c r="H19" s="161">
        <v>167</v>
      </c>
      <c r="I19" s="39">
        <v>100</v>
      </c>
      <c r="J19" s="173">
        <v>100</v>
      </c>
      <c r="K19" s="178">
        <v>257</v>
      </c>
      <c r="L19" s="185"/>
      <c r="M19" s="183"/>
      <c r="N19" s="250"/>
      <c r="O19" s="183"/>
      <c r="P19" s="267"/>
      <c r="Q19" s="183"/>
      <c r="R19" s="267"/>
      <c r="S19" s="183"/>
      <c r="T19" s="267"/>
      <c r="U19" s="376"/>
      <c r="V19" s="183">
        <f>'5.Budget monitor'!B10</f>
        <v>190</v>
      </c>
      <c r="W19" s="328">
        <v>122.99999999999999</v>
      </c>
      <c r="X19" s="183">
        <v>167</v>
      </c>
      <c r="Y19" s="183">
        <v>173</v>
      </c>
      <c r="Z19" s="21"/>
      <c r="AA19" s="44" t="s">
        <v>3</v>
      </c>
      <c r="AB19" s="45">
        <v>262</v>
      </c>
      <c r="AC19" s="43"/>
      <c r="AE19" s="290">
        <f>Y35/4</f>
        <v>7045.25</v>
      </c>
      <c r="AF19" s="277" t="s">
        <v>195</v>
      </c>
      <c r="AG19" s="291">
        <f>Y35</f>
        <v>28181</v>
      </c>
    </row>
    <row r="20" spans="2:34" x14ac:dyDescent="0.2">
      <c r="C20" s="43" t="s">
        <v>121</v>
      </c>
      <c r="D20" s="43"/>
      <c r="E20" s="48"/>
      <c r="F20" s="39"/>
      <c r="G20" s="40">
        <v>0</v>
      </c>
      <c r="H20" s="161">
        <v>0</v>
      </c>
      <c r="I20" s="39">
        <v>0</v>
      </c>
      <c r="J20" s="173">
        <v>0</v>
      </c>
      <c r="K20" s="178">
        <v>300</v>
      </c>
      <c r="L20" s="185">
        <v>0</v>
      </c>
      <c r="M20" s="183">
        <v>0</v>
      </c>
      <c r="N20" s="250"/>
      <c r="O20" s="183">
        <f>N20</f>
        <v>0</v>
      </c>
      <c r="P20" s="267">
        <v>0</v>
      </c>
      <c r="Q20" s="183">
        <v>0</v>
      </c>
      <c r="R20" s="267">
        <v>0</v>
      </c>
      <c r="S20" s="183">
        <v>0</v>
      </c>
      <c r="T20" s="267">
        <v>0</v>
      </c>
      <c r="U20" s="376">
        <v>0</v>
      </c>
      <c r="V20" s="183">
        <v>0</v>
      </c>
      <c r="W20" s="328">
        <v>0</v>
      </c>
      <c r="X20" s="183">
        <v>0</v>
      </c>
      <c r="Y20" s="328">
        <v>0</v>
      </c>
      <c r="Z20" s="21"/>
      <c r="AA20" s="44"/>
      <c r="AB20" s="49">
        <v>300</v>
      </c>
      <c r="AC20" s="50" t="s">
        <v>122</v>
      </c>
      <c r="AE20" s="51"/>
      <c r="AF20" s="51"/>
      <c r="AG20" s="52"/>
    </row>
    <row r="21" spans="2:34" x14ac:dyDescent="0.2">
      <c r="C21" s="43" t="s">
        <v>123</v>
      </c>
      <c r="D21" s="43"/>
      <c r="E21" s="48"/>
      <c r="F21" s="39" t="s">
        <v>3</v>
      </c>
      <c r="G21" s="40">
        <v>0</v>
      </c>
      <c r="H21" s="161">
        <v>800</v>
      </c>
      <c r="I21" s="39">
        <v>0</v>
      </c>
      <c r="J21" s="173">
        <v>800</v>
      </c>
      <c r="K21" s="178">
        <v>500</v>
      </c>
      <c r="L21" s="185"/>
      <c r="M21" s="183">
        <v>500</v>
      </c>
      <c r="N21" s="250"/>
      <c r="O21" s="183">
        <v>1000</v>
      </c>
      <c r="P21" s="267">
        <v>1000</v>
      </c>
      <c r="Q21" s="271">
        <v>2200</v>
      </c>
      <c r="R21" s="267">
        <v>2200</v>
      </c>
      <c r="S21" s="271">
        <v>1300</v>
      </c>
      <c r="T21" s="267">
        <f>S21</f>
        <v>1300</v>
      </c>
      <c r="U21" s="378">
        <v>1750</v>
      </c>
      <c r="V21" s="271">
        <f>U21</f>
        <v>1750</v>
      </c>
      <c r="W21" s="271">
        <v>2400</v>
      </c>
      <c r="X21" s="271">
        <f>W21</f>
        <v>2400</v>
      </c>
      <c r="Y21" s="271">
        <v>2400</v>
      </c>
      <c r="Z21" s="21" t="s">
        <v>216</v>
      </c>
      <c r="AA21" s="44" t="s">
        <v>3</v>
      </c>
      <c r="AB21" s="45">
        <v>500</v>
      </c>
      <c r="AC21" t="s">
        <v>3</v>
      </c>
      <c r="AD21" t="s">
        <v>3</v>
      </c>
      <c r="AG21" s="53"/>
      <c r="AH21" s="53"/>
    </row>
    <row r="22" spans="2:34" ht="16" x14ac:dyDescent="0.2">
      <c r="B22" s="22" t="s">
        <v>125</v>
      </c>
      <c r="F22" s="39" t="s">
        <v>3</v>
      </c>
      <c r="G22" s="54"/>
      <c r="H22" s="161"/>
      <c r="I22" s="39" t="s">
        <v>3</v>
      </c>
      <c r="J22" s="173"/>
      <c r="K22" s="179"/>
      <c r="L22" s="185">
        <v>2174</v>
      </c>
      <c r="M22" s="183">
        <v>1500</v>
      </c>
      <c r="N22" s="250"/>
      <c r="O22" s="183">
        <v>2373</v>
      </c>
      <c r="P22" s="267">
        <v>1034</v>
      </c>
      <c r="Q22" s="183">
        <v>2468</v>
      </c>
      <c r="R22" s="267">
        <f>'5.Budget monitor'!O15</f>
        <v>1236</v>
      </c>
      <c r="S22" s="183">
        <v>2715</v>
      </c>
      <c r="T22" s="267">
        <f>'5.Budget monitor'!$O$15</f>
        <v>1236</v>
      </c>
      <c r="U22" s="375">
        <v>2850.75</v>
      </c>
      <c r="V22" s="328">
        <f>'5.Budget monitor'!O15</f>
        <v>1236</v>
      </c>
      <c r="W22" s="183">
        <v>2850.75</v>
      </c>
      <c r="X22" s="183">
        <f>'5.Budget monitor'!O15</f>
        <v>1236</v>
      </c>
      <c r="Y22" s="183">
        <v>2851</v>
      </c>
      <c r="Z22" s="21" t="s">
        <v>5</v>
      </c>
      <c r="AB22" s="47"/>
      <c r="AH22" s="292"/>
    </row>
    <row r="23" spans="2:34" x14ac:dyDescent="0.2">
      <c r="C23" s="43" t="s">
        <v>126</v>
      </c>
      <c r="F23" s="39">
        <v>510</v>
      </c>
      <c r="G23" s="40">
        <v>575</v>
      </c>
      <c r="H23" s="161">
        <v>587</v>
      </c>
      <c r="I23" s="39">
        <v>412</v>
      </c>
      <c r="J23" s="173">
        <v>412</v>
      </c>
      <c r="K23" s="178">
        <v>450</v>
      </c>
      <c r="L23" s="185"/>
      <c r="M23" s="183"/>
      <c r="N23" s="250"/>
      <c r="O23" s="183"/>
      <c r="P23" s="267"/>
      <c r="Q23" s="183"/>
      <c r="R23" s="267"/>
      <c r="S23" s="183"/>
      <c r="T23" s="267"/>
      <c r="U23" s="376"/>
      <c r="V23" s="183"/>
      <c r="W23" s="183"/>
      <c r="X23" s="183"/>
      <c r="Y23" s="183"/>
      <c r="Z23" s="21" t="s">
        <v>3</v>
      </c>
      <c r="AA23" s="44" t="s">
        <v>3</v>
      </c>
      <c r="AB23" s="45">
        <v>460</v>
      </c>
      <c r="AC23" s="43"/>
      <c r="AG23" s="133"/>
    </row>
    <row r="24" spans="2:34" x14ac:dyDescent="0.2">
      <c r="C24" t="s">
        <v>127</v>
      </c>
      <c r="F24" s="39">
        <v>300</v>
      </c>
      <c r="G24" s="40" t="s">
        <v>3</v>
      </c>
      <c r="H24" s="161">
        <v>306</v>
      </c>
      <c r="I24" s="39">
        <v>163</v>
      </c>
      <c r="J24" s="173">
        <v>163</v>
      </c>
      <c r="K24" s="178">
        <v>200</v>
      </c>
      <c r="L24" s="185"/>
      <c r="M24" s="183"/>
      <c r="N24" s="250"/>
      <c r="O24" s="183"/>
      <c r="P24" s="267"/>
      <c r="Q24" s="183"/>
      <c r="R24" s="267"/>
      <c r="S24" s="183"/>
      <c r="T24" s="267"/>
      <c r="U24" s="376"/>
      <c r="V24" s="183"/>
      <c r="W24" s="183"/>
      <c r="X24" s="183"/>
      <c r="Y24" s="183"/>
      <c r="Z24" s="55" t="s">
        <v>3</v>
      </c>
      <c r="AB24" s="47">
        <v>200</v>
      </c>
    </row>
    <row r="25" spans="2:34" x14ac:dyDescent="0.2">
      <c r="C25" t="s">
        <v>128</v>
      </c>
      <c r="F25" s="39" t="s">
        <v>3</v>
      </c>
      <c r="G25" s="40">
        <v>73</v>
      </c>
      <c r="H25" s="161">
        <v>500</v>
      </c>
      <c r="I25" s="39">
        <v>0</v>
      </c>
      <c r="J25" s="173">
        <v>500</v>
      </c>
      <c r="K25" s="178">
        <v>500</v>
      </c>
      <c r="L25" s="185"/>
      <c r="M25" s="183">
        <v>500</v>
      </c>
      <c r="N25" s="250"/>
      <c r="O25" s="183">
        <v>500</v>
      </c>
      <c r="P25" s="267">
        <v>500</v>
      </c>
      <c r="Q25" s="271">
        <v>500</v>
      </c>
      <c r="R25" s="267">
        <v>500</v>
      </c>
      <c r="S25" s="271">
        <v>1000</v>
      </c>
      <c r="T25" s="267">
        <f>S25</f>
        <v>1000</v>
      </c>
      <c r="U25" s="378">
        <v>1000</v>
      </c>
      <c r="V25" s="271">
        <f>U25</f>
        <v>1000</v>
      </c>
      <c r="W25" s="271">
        <v>1275</v>
      </c>
      <c r="X25" s="271">
        <v>1275</v>
      </c>
      <c r="Y25" s="271">
        <v>1275</v>
      </c>
      <c r="Z25" s="21" t="s">
        <v>124</v>
      </c>
      <c r="AA25" s="44" t="s">
        <v>3</v>
      </c>
      <c r="AB25" s="47">
        <v>500</v>
      </c>
      <c r="AE25" t="s">
        <v>267</v>
      </c>
    </row>
    <row r="26" spans="2:34" x14ac:dyDescent="0.2">
      <c r="F26" s="39"/>
      <c r="G26" s="40"/>
      <c r="H26" s="161"/>
      <c r="I26" s="39"/>
      <c r="J26" s="173"/>
      <c r="K26" s="178"/>
      <c r="L26" s="185"/>
      <c r="M26" s="183"/>
      <c r="N26" s="250"/>
      <c r="O26" s="183"/>
      <c r="P26" s="267"/>
      <c r="Q26" s="183"/>
      <c r="R26" s="267"/>
      <c r="S26" s="183"/>
      <c r="T26" s="267"/>
      <c r="U26" s="376"/>
      <c r="V26" s="183"/>
      <c r="W26" s="183"/>
      <c r="X26" s="183"/>
      <c r="Y26" s="183"/>
      <c r="Z26" s="21"/>
      <c r="AA26" s="44"/>
      <c r="AB26" s="45"/>
      <c r="AC26" s="43"/>
      <c r="AE26" t="s">
        <v>200</v>
      </c>
    </row>
    <row r="27" spans="2:34" x14ac:dyDescent="0.2">
      <c r="B27" s="22" t="s">
        <v>129</v>
      </c>
      <c r="F27" s="39"/>
      <c r="G27" s="40"/>
      <c r="H27" s="161"/>
      <c r="I27" s="39"/>
      <c r="J27" s="173"/>
      <c r="K27" s="178"/>
      <c r="L27" s="185"/>
      <c r="M27" s="183"/>
      <c r="N27" s="250"/>
      <c r="O27" s="183"/>
      <c r="P27" s="267"/>
      <c r="Q27" s="183"/>
      <c r="R27" s="267"/>
      <c r="S27" s="183"/>
      <c r="T27" s="267"/>
      <c r="U27" s="376"/>
      <c r="V27" s="183"/>
      <c r="W27" s="183"/>
      <c r="X27" s="183"/>
      <c r="Y27" s="183"/>
      <c r="Z27" s="21"/>
      <c r="AA27" s="44"/>
      <c r="AB27" s="45"/>
      <c r="AC27" s="43"/>
      <c r="AE27" t="s">
        <v>199</v>
      </c>
    </row>
    <row r="28" spans="2:34" x14ac:dyDescent="0.2">
      <c r="C28" t="s">
        <v>130</v>
      </c>
      <c r="F28" s="39" t="s">
        <v>3</v>
      </c>
      <c r="G28" s="40" t="s">
        <v>3</v>
      </c>
      <c r="H28" s="161"/>
      <c r="I28" s="39" t="s">
        <v>3</v>
      </c>
      <c r="J28" s="173">
        <v>1210</v>
      </c>
      <c r="K28" s="178">
        <v>0</v>
      </c>
      <c r="L28" s="185"/>
      <c r="M28" s="183"/>
      <c r="N28" s="250"/>
      <c r="O28" s="183"/>
      <c r="P28" s="267"/>
      <c r="Q28" s="183"/>
      <c r="R28" s="267"/>
      <c r="S28" s="183"/>
      <c r="T28" s="267"/>
      <c r="U28" s="376"/>
      <c r="V28" s="183"/>
      <c r="W28" s="183"/>
      <c r="X28" s="183"/>
      <c r="Y28" s="183"/>
      <c r="Z28" s="55" t="s">
        <v>3</v>
      </c>
      <c r="AB28" s="47">
        <v>0</v>
      </c>
      <c r="AC28" t="s">
        <v>3</v>
      </c>
    </row>
    <row r="29" spans="2:34" x14ac:dyDescent="0.2">
      <c r="B29" s="22"/>
      <c r="C29" t="s">
        <v>131</v>
      </c>
      <c r="F29" s="39" t="s">
        <v>3</v>
      </c>
      <c r="G29" s="40" t="s">
        <v>3</v>
      </c>
      <c r="H29" s="161"/>
      <c r="I29" s="39">
        <v>904</v>
      </c>
      <c r="J29" s="173">
        <v>3404</v>
      </c>
      <c r="K29" s="178">
        <v>0</v>
      </c>
      <c r="L29" s="185"/>
      <c r="M29" s="183"/>
      <c r="N29" s="250"/>
      <c r="O29" s="183"/>
      <c r="P29" s="267"/>
      <c r="Q29" s="183"/>
      <c r="R29" s="267"/>
      <c r="S29" s="183"/>
      <c r="T29" s="267"/>
      <c r="U29" s="376"/>
      <c r="V29" s="183"/>
      <c r="W29" s="183"/>
      <c r="X29" s="183"/>
      <c r="Y29" s="183"/>
      <c r="Z29" s="21" t="s">
        <v>3</v>
      </c>
      <c r="AA29" s="44" t="s">
        <v>3</v>
      </c>
      <c r="AB29" s="47">
        <v>0</v>
      </c>
    </row>
    <row r="30" spans="2:34" x14ac:dyDescent="0.2">
      <c r="B30" s="22" t="s">
        <v>132</v>
      </c>
      <c r="F30" s="39"/>
      <c r="G30" s="54"/>
      <c r="H30" s="161"/>
      <c r="I30" s="39" t="s">
        <v>3</v>
      </c>
      <c r="J30" s="173"/>
      <c r="K30" s="179"/>
      <c r="L30" s="185"/>
      <c r="M30" s="183"/>
      <c r="N30" s="250"/>
      <c r="O30" s="183"/>
      <c r="P30" s="267"/>
      <c r="Q30" s="183"/>
      <c r="R30" s="267"/>
      <c r="S30" s="183"/>
      <c r="T30" s="267"/>
      <c r="U30" s="376"/>
      <c r="V30" s="183"/>
      <c r="W30" s="183"/>
      <c r="X30" s="183"/>
      <c r="Y30" s="183"/>
      <c r="Z30" s="56"/>
      <c r="AB30" s="47"/>
    </row>
    <row r="31" spans="2:34" x14ac:dyDescent="0.2">
      <c r="B31" t="s">
        <v>3</v>
      </c>
      <c r="C31" t="s">
        <v>133</v>
      </c>
      <c r="F31" s="39">
        <v>1822</v>
      </c>
      <c r="G31" s="40">
        <v>1820</v>
      </c>
      <c r="H31" s="161">
        <v>1600</v>
      </c>
      <c r="I31" s="39">
        <v>231</v>
      </c>
      <c r="J31" s="173">
        <v>1600</v>
      </c>
      <c r="K31" s="178">
        <v>1600</v>
      </c>
      <c r="L31" s="185">
        <v>2487</v>
      </c>
      <c r="M31" s="183">
        <v>1600</v>
      </c>
      <c r="N31" s="250"/>
      <c r="O31" s="183">
        <v>1600</v>
      </c>
      <c r="P31" s="267">
        <v>1900</v>
      </c>
      <c r="Q31" s="271">
        <f>P31</f>
        <v>1900</v>
      </c>
      <c r="R31" s="267">
        <f>'5.Budget monitor'!O13</f>
        <v>1925</v>
      </c>
      <c r="S31" s="271">
        <v>1600</v>
      </c>
      <c r="T31" s="267">
        <f>'5.Budget monitor'!$O$13</f>
        <v>1925</v>
      </c>
      <c r="U31" s="378">
        <v>1600</v>
      </c>
      <c r="V31" s="271">
        <f>'5.Budget monitor'!P13</f>
        <v>1600</v>
      </c>
      <c r="W31" s="271">
        <v>1600</v>
      </c>
      <c r="X31" s="271">
        <f>'5.Budget monitor'!O13</f>
        <v>1925</v>
      </c>
      <c r="Y31" s="271">
        <v>1900</v>
      </c>
      <c r="Z31" s="21" t="s">
        <v>78</v>
      </c>
      <c r="AA31" s="44" t="s">
        <v>3</v>
      </c>
      <c r="AB31" s="47">
        <v>1650</v>
      </c>
    </row>
    <row r="32" spans="2:34" x14ac:dyDescent="0.2">
      <c r="C32" t="s">
        <v>42</v>
      </c>
      <c r="F32" s="39" t="s">
        <v>3</v>
      </c>
      <c r="G32" s="40" t="s">
        <v>3</v>
      </c>
      <c r="H32" s="161"/>
      <c r="I32" s="39" t="s">
        <v>3</v>
      </c>
      <c r="J32" s="173">
        <v>0</v>
      </c>
      <c r="K32" s="178">
        <v>0</v>
      </c>
      <c r="L32" s="185"/>
      <c r="M32" s="183">
        <v>300</v>
      </c>
      <c r="N32" s="250"/>
      <c r="O32" s="280">
        <v>300</v>
      </c>
      <c r="P32" s="267"/>
      <c r="Q32" s="271">
        <f>O32</f>
        <v>300</v>
      </c>
      <c r="R32" s="267">
        <f>'5.Budget monitor'!O17</f>
        <v>15284.09</v>
      </c>
      <c r="S32" s="183">
        <v>330</v>
      </c>
      <c r="T32" s="267">
        <f>'5.Budget monitor'!$O$17</f>
        <v>15284.09</v>
      </c>
      <c r="U32" s="377">
        <v>330</v>
      </c>
      <c r="V32" s="333">
        <f>'5.Budget monitor'!O17+'5.Budget monitor'!O13-'7.26-27 budget (Approved)'!V31</f>
        <v>15609.09</v>
      </c>
      <c r="W32" s="328">
        <v>1265</v>
      </c>
      <c r="X32" s="271">
        <f>'5.Budget monitor'!O17-10800</f>
        <v>4484.09</v>
      </c>
      <c r="Y32" s="328">
        <v>1309</v>
      </c>
      <c r="Z32" s="21" t="s">
        <v>3</v>
      </c>
      <c r="AA32" s="41" t="s">
        <v>3</v>
      </c>
      <c r="AB32" s="47">
        <v>0</v>
      </c>
    </row>
    <row r="33" spans="2:35" x14ac:dyDescent="0.2">
      <c r="C33" t="s">
        <v>134</v>
      </c>
      <c r="F33" s="39">
        <v>4554</v>
      </c>
      <c r="G33" s="57">
        <v>4500</v>
      </c>
      <c r="H33" s="161">
        <v>4600</v>
      </c>
      <c r="I33" s="39">
        <v>4500</v>
      </c>
      <c r="J33" s="173">
        <v>4500</v>
      </c>
      <c r="K33" s="180">
        <v>4600</v>
      </c>
      <c r="L33" s="187">
        <f>4600+2315</f>
        <v>6915</v>
      </c>
      <c r="M33" s="183">
        <v>4692</v>
      </c>
      <c r="N33" s="251"/>
      <c r="O33" s="280">
        <v>4786</v>
      </c>
      <c r="P33" s="267">
        <v>5786</v>
      </c>
      <c r="Q33" s="183">
        <v>4977</v>
      </c>
      <c r="R33" s="267">
        <f>'5.Budget monitor'!O21</f>
        <v>8883.1999999999989</v>
      </c>
      <c r="S33" s="183">
        <v>5475</v>
      </c>
      <c r="T33" s="267">
        <f>'5.Budget monitor'!$O$21</f>
        <v>8883.1999999999989</v>
      </c>
      <c r="U33" s="375">
        <v>5748.75</v>
      </c>
      <c r="V33" s="328">
        <f>'5.Budget monitor'!N21</f>
        <v>8883.1999999999989</v>
      </c>
      <c r="W33" s="328">
        <v>5892.4687499999991</v>
      </c>
      <c r="X33" s="183">
        <f>'5.Budget monitor'!H21*2</f>
        <v>6903.28</v>
      </c>
      <c r="Y33" s="328">
        <v>6099</v>
      </c>
      <c r="Z33" s="21" t="s">
        <v>207</v>
      </c>
      <c r="AB33" s="47">
        <v>4700</v>
      </c>
      <c r="AE33" s="387"/>
    </row>
    <row r="34" spans="2:35" ht="16" thickBot="1" x14ac:dyDescent="0.25">
      <c r="C34" s="22" t="s">
        <v>135</v>
      </c>
      <c r="F34" s="58">
        <v>0</v>
      </c>
      <c r="G34" s="57">
        <v>0</v>
      </c>
      <c r="H34" s="162"/>
      <c r="I34" s="39" t="s">
        <v>3</v>
      </c>
      <c r="J34" s="174">
        <v>0</v>
      </c>
      <c r="K34" s="180">
        <v>0</v>
      </c>
      <c r="L34" s="187"/>
      <c r="M34" s="184"/>
      <c r="N34" s="197"/>
      <c r="O34" s="184"/>
      <c r="P34" s="268"/>
      <c r="Q34" s="184"/>
      <c r="R34" s="268"/>
      <c r="S34" s="184"/>
      <c r="T34" s="268"/>
      <c r="U34" s="379"/>
      <c r="V34" s="184"/>
      <c r="W34" s="184"/>
      <c r="X34" s="184"/>
      <c r="Y34" s="184"/>
      <c r="Z34" s="157" t="s">
        <v>3</v>
      </c>
      <c r="AB34" s="59">
        <v>0</v>
      </c>
    </row>
    <row r="35" spans="2:35" s="22" customFormat="1" ht="16" thickBot="1" x14ac:dyDescent="0.25">
      <c r="B35" s="22" t="s">
        <v>136</v>
      </c>
      <c r="F35" s="60">
        <f t="shared" ref="F35:N35" si="0">SUM(F8:F34)</f>
        <v>17196</v>
      </c>
      <c r="G35" s="61">
        <f t="shared" si="0"/>
        <v>15966</v>
      </c>
      <c r="H35" s="163">
        <f t="shared" si="0"/>
        <v>19195</v>
      </c>
      <c r="I35" s="62">
        <f t="shared" si="0"/>
        <v>12695</v>
      </c>
      <c r="J35" s="175">
        <f t="shared" si="0"/>
        <v>21753</v>
      </c>
      <c r="K35" s="181">
        <f t="shared" si="0"/>
        <v>18486</v>
      </c>
      <c r="L35" s="188">
        <f t="shared" si="0"/>
        <v>20791</v>
      </c>
      <c r="M35" s="252">
        <f t="shared" si="0"/>
        <v>21206</v>
      </c>
      <c r="N35" s="252">
        <f t="shared" si="0"/>
        <v>0</v>
      </c>
      <c r="O35" s="252">
        <f t="shared" ref="O35:T35" si="1">SUM(O8:O34)</f>
        <v>22172</v>
      </c>
      <c r="P35" s="252">
        <f t="shared" si="1"/>
        <v>20161</v>
      </c>
      <c r="Q35" s="252">
        <f t="shared" si="1"/>
        <v>23288</v>
      </c>
      <c r="R35" s="252">
        <f t="shared" si="1"/>
        <v>40319.21</v>
      </c>
      <c r="S35" s="252">
        <f t="shared" si="1"/>
        <v>24856</v>
      </c>
      <c r="T35" s="252">
        <f t="shared" si="1"/>
        <v>41763.149999999994</v>
      </c>
      <c r="U35" s="380">
        <v>26338</v>
      </c>
      <c r="V35" s="184">
        <f>SUM(V8:V33)</f>
        <v>41437.58</v>
      </c>
      <c r="W35" s="184">
        <v>27105.713499999998</v>
      </c>
      <c r="X35" s="184">
        <f>SUM(X8:X33)</f>
        <v>28681.289999999997</v>
      </c>
      <c r="Y35" s="184">
        <f>SUM(Y8:Y33)</f>
        <v>28181</v>
      </c>
      <c r="Z35" s="253" t="s">
        <v>3</v>
      </c>
      <c r="AA35" s="254"/>
      <c r="AB35" s="255">
        <f>SUM(AB8:AB34)</f>
        <v>18847</v>
      </c>
      <c r="AC35" s="254"/>
      <c r="AE35"/>
      <c r="AF35"/>
      <c r="AG35"/>
      <c r="AH35"/>
    </row>
    <row r="36" spans="2:35" x14ac:dyDescent="0.2">
      <c r="F36" s="63"/>
      <c r="G36" s="63"/>
      <c r="H36" s="63"/>
      <c r="I36" s="63" t="s">
        <v>3</v>
      </c>
      <c r="J36" s="63" t="s">
        <v>3</v>
      </c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AB36" s="63"/>
      <c r="AE36" s="22"/>
      <c r="AF36" s="22"/>
      <c r="AG36" s="22"/>
      <c r="AH36" s="22"/>
    </row>
    <row r="37" spans="2:35" s="22" customFormat="1" ht="19" x14ac:dyDescent="0.25">
      <c r="B37" s="16" t="s">
        <v>137</v>
      </c>
      <c r="F37" s="65"/>
      <c r="G37" s="65"/>
      <c r="H37" s="65"/>
      <c r="I37" s="65"/>
      <c r="J37" s="65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AB37" s="65"/>
      <c r="AE37"/>
      <c r="AF37"/>
      <c r="AG37"/>
      <c r="AH37"/>
    </row>
    <row r="38" spans="2:35" ht="16" thickBot="1" x14ac:dyDescent="0.25">
      <c r="B38" s="22" t="s">
        <v>138</v>
      </c>
      <c r="F38" s="63"/>
      <c r="G38" s="63"/>
      <c r="H38" s="63"/>
      <c r="I38" s="63"/>
      <c r="J38" s="63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AB38" s="63"/>
      <c r="AE38" s="22"/>
      <c r="AF38" s="22"/>
      <c r="AG38" s="22"/>
      <c r="AH38" s="22"/>
    </row>
    <row r="39" spans="2:35" ht="19" x14ac:dyDescent="0.25">
      <c r="C39" t="s">
        <v>139</v>
      </c>
      <c r="F39" s="67" t="s">
        <v>140</v>
      </c>
      <c r="G39" s="68">
        <v>800</v>
      </c>
      <c r="H39" s="165" t="s">
        <v>3</v>
      </c>
      <c r="I39" s="63" t="s">
        <v>3</v>
      </c>
      <c r="J39" s="39" t="s">
        <v>3</v>
      </c>
      <c r="K39" s="176">
        <v>0</v>
      </c>
      <c r="L39" s="147">
        <v>0</v>
      </c>
      <c r="M39" s="147">
        <v>0</v>
      </c>
      <c r="N39" s="57"/>
      <c r="O39" s="147"/>
      <c r="P39" s="57"/>
      <c r="Q39" s="147"/>
      <c r="R39" s="57"/>
      <c r="S39" s="147"/>
      <c r="T39" s="57"/>
      <c r="U39" s="147"/>
      <c r="V39" s="147"/>
      <c r="W39" s="147"/>
      <c r="X39" s="147"/>
      <c r="Y39" s="147"/>
      <c r="Z39" s="36" t="s">
        <v>3</v>
      </c>
      <c r="AB39" s="69">
        <v>0</v>
      </c>
      <c r="AE39" s="88" t="s">
        <v>163</v>
      </c>
      <c r="AF39" s="88"/>
      <c r="AG39" s="89" t="s">
        <v>45</v>
      </c>
      <c r="AH39" s="293">
        <v>20137</v>
      </c>
      <c r="AI39" s="257">
        <f>(M48-AH39)/AH39</f>
        <v>5.3086358444654119E-2</v>
      </c>
    </row>
    <row r="40" spans="2:35" ht="19" x14ac:dyDescent="0.25">
      <c r="C40" t="s">
        <v>141</v>
      </c>
      <c r="F40" s="70" t="s">
        <v>140</v>
      </c>
      <c r="G40" s="71">
        <v>2500</v>
      </c>
      <c r="H40" s="166" t="s">
        <v>3</v>
      </c>
      <c r="I40" s="63" t="s">
        <v>3</v>
      </c>
      <c r="J40" s="39" t="s">
        <v>3</v>
      </c>
      <c r="K40" s="176">
        <v>0</v>
      </c>
      <c r="L40" s="147">
        <v>0</v>
      </c>
      <c r="M40" s="147">
        <v>0</v>
      </c>
      <c r="N40" s="57"/>
      <c r="O40" s="147"/>
      <c r="P40" s="57"/>
      <c r="Q40" s="147"/>
      <c r="R40" s="57"/>
      <c r="S40" s="147"/>
      <c r="T40" s="57"/>
      <c r="U40" s="147"/>
      <c r="V40" s="147"/>
      <c r="W40" s="147"/>
      <c r="X40" s="147"/>
      <c r="Y40" s="147"/>
      <c r="Z40" s="36" t="s">
        <v>3</v>
      </c>
      <c r="AA40" s="41" t="s">
        <v>3</v>
      </c>
      <c r="AB40" s="47">
        <v>0</v>
      </c>
      <c r="AE40" s="88" t="s">
        <v>186</v>
      </c>
      <c r="AF40" s="88"/>
      <c r="AG40" s="245"/>
      <c r="AH40" s="293">
        <v>21205</v>
      </c>
      <c r="AI40" s="257">
        <f t="shared" ref="AI40:AI46" si="2">1-(AH39/AH40)</f>
        <v>5.0365479839660443E-2</v>
      </c>
    </row>
    <row r="41" spans="2:35" ht="19" x14ac:dyDescent="0.25">
      <c r="C41" t="s">
        <v>142</v>
      </c>
      <c r="F41" s="72" t="s">
        <v>3</v>
      </c>
      <c r="G41" s="39">
        <v>165</v>
      </c>
      <c r="H41" s="166">
        <v>0</v>
      </c>
      <c r="I41" s="63">
        <v>156</v>
      </c>
      <c r="J41" s="39">
        <v>156</v>
      </c>
      <c r="K41" s="176">
        <v>160</v>
      </c>
      <c r="L41" s="147">
        <v>0</v>
      </c>
      <c r="M41" s="147">
        <v>0</v>
      </c>
      <c r="N41" s="57"/>
      <c r="O41" s="147">
        <v>0</v>
      </c>
      <c r="P41" s="57"/>
      <c r="Q41" s="147">
        <v>0</v>
      </c>
      <c r="R41" s="57"/>
      <c r="S41" s="147">
        <v>0</v>
      </c>
      <c r="T41" s="57"/>
      <c r="U41" s="147">
        <v>0</v>
      </c>
      <c r="V41" s="147"/>
      <c r="W41" s="147">
        <v>0</v>
      </c>
      <c r="X41" s="147"/>
      <c r="Y41" s="147">
        <v>0</v>
      </c>
      <c r="Z41" s="73" t="s">
        <v>3</v>
      </c>
      <c r="AB41" s="47">
        <v>160</v>
      </c>
      <c r="AD41" t="s">
        <v>3</v>
      </c>
      <c r="AE41" s="88" t="s">
        <v>192</v>
      </c>
      <c r="AF41" s="88"/>
      <c r="AG41" s="245"/>
      <c r="AH41" s="293">
        <f>O48</f>
        <v>22146</v>
      </c>
      <c r="AI41" s="258">
        <f t="shared" si="2"/>
        <v>4.2490743249345209E-2</v>
      </c>
    </row>
    <row r="42" spans="2:35" ht="19" x14ac:dyDescent="0.25">
      <c r="B42" s="22" t="s">
        <v>3</v>
      </c>
      <c r="C42" t="s">
        <v>49</v>
      </c>
      <c r="F42" s="74" t="s">
        <v>3</v>
      </c>
      <c r="G42" s="39" t="s">
        <v>3</v>
      </c>
      <c r="H42" s="166" t="s">
        <v>3</v>
      </c>
      <c r="I42" s="63">
        <v>1210</v>
      </c>
      <c r="J42" s="39">
        <v>1210</v>
      </c>
      <c r="K42" s="176">
        <v>0</v>
      </c>
      <c r="L42" s="147">
        <v>2500</v>
      </c>
      <c r="M42" s="147">
        <v>0</v>
      </c>
      <c r="N42" s="57"/>
      <c r="O42" s="147">
        <v>0</v>
      </c>
      <c r="P42" s="57"/>
      <c r="Q42" s="147">
        <v>0</v>
      </c>
      <c r="R42" s="57"/>
      <c r="S42" s="147">
        <v>0</v>
      </c>
      <c r="T42" s="57"/>
      <c r="U42" s="147">
        <v>0</v>
      </c>
      <c r="V42" s="147"/>
      <c r="W42" s="147">
        <v>0</v>
      </c>
      <c r="X42" s="403">
        <f>'2.Receipts'!D3</f>
        <v>51.71</v>
      </c>
      <c r="Y42" s="147">
        <v>0</v>
      </c>
      <c r="Z42" s="36" t="s">
        <v>3</v>
      </c>
      <c r="AA42" s="41" t="s">
        <v>3</v>
      </c>
      <c r="AB42" s="47">
        <v>0</v>
      </c>
      <c r="AE42" s="88" t="s">
        <v>198</v>
      </c>
      <c r="AF42" s="88"/>
      <c r="AG42" s="245"/>
      <c r="AH42" s="293">
        <v>23286</v>
      </c>
      <c r="AI42" s="258">
        <f t="shared" si="2"/>
        <v>4.8956454522030457E-2</v>
      </c>
    </row>
    <row r="43" spans="2:35" ht="19" x14ac:dyDescent="0.25">
      <c r="B43" s="22" t="s">
        <v>143</v>
      </c>
      <c r="C43" t="s">
        <v>3</v>
      </c>
      <c r="F43" s="74" t="s">
        <v>3</v>
      </c>
      <c r="G43" s="39">
        <v>15</v>
      </c>
      <c r="H43" s="166">
        <v>90</v>
      </c>
      <c r="I43" s="63">
        <v>17</v>
      </c>
      <c r="J43" s="39">
        <v>35</v>
      </c>
      <c r="K43" s="176">
        <v>50</v>
      </c>
      <c r="L43" s="147">
        <v>50</v>
      </c>
      <c r="M43" s="147">
        <f>L43</f>
        <v>50</v>
      </c>
      <c r="N43" s="57">
        <v>15</v>
      </c>
      <c r="O43" s="147">
        <v>26</v>
      </c>
      <c r="P43" s="57">
        <v>2</v>
      </c>
      <c r="Q43" s="147">
        <v>2</v>
      </c>
      <c r="R43" s="57">
        <v>2</v>
      </c>
      <c r="S43" s="147">
        <v>2</v>
      </c>
      <c r="T43" s="57">
        <v>160</v>
      </c>
      <c r="U43" s="147">
        <f>T43</f>
        <v>160</v>
      </c>
      <c r="V43" s="147"/>
      <c r="W43" s="147">
        <v>257</v>
      </c>
      <c r="X43" s="403">
        <f>'2.Receipts'!F34</f>
        <v>451.95</v>
      </c>
      <c r="Y43" s="147">
        <v>257</v>
      </c>
      <c r="Z43" s="21"/>
      <c r="AB43" s="47">
        <v>100</v>
      </c>
      <c r="AE43" s="88" t="s">
        <v>203</v>
      </c>
      <c r="AF43" s="88"/>
      <c r="AG43" s="245"/>
      <c r="AH43" s="293">
        <f>S48</f>
        <v>24854</v>
      </c>
      <c r="AI43" s="258">
        <f t="shared" si="2"/>
        <v>6.3088436468978881E-2</v>
      </c>
    </row>
    <row r="44" spans="2:35" s="22" customFormat="1" ht="20" thickBot="1" x14ac:dyDescent="0.3">
      <c r="B44" s="22" t="s">
        <v>144</v>
      </c>
      <c r="F44" s="75">
        <f t="shared" ref="F44:L44" si="3">SUM(F39:F43)</f>
        <v>0</v>
      </c>
      <c r="G44" s="76">
        <f t="shared" si="3"/>
        <v>3480</v>
      </c>
      <c r="H44" s="167">
        <f t="shared" si="3"/>
        <v>90</v>
      </c>
      <c r="I44" s="65">
        <f t="shared" si="3"/>
        <v>1383</v>
      </c>
      <c r="J44" s="40">
        <f t="shared" si="3"/>
        <v>1401</v>
      </c>
      <c r="K44" s="176">
        <f t="shared" si="3"/>
        <v>210</v>
      </c>
      <c r="L44" s="147">
        <f t="shared" si="3"/>
        <v>2550</v>
      </c>
      <c r="M44" s="147">
        <v>0</v>
      </c>
      <c r="N44" s="147">
        <f>SUM(N39:N43)</f>
        <v>15</v>
      </c>
      <c r="O44" s="147">
        <f>SUM(O39:O43)</f>
        <v>26</v>
      </c>
      <c r="P44" s="57"/>
      <c r="Q44" s="147">
        <f>SUM(Q39:Q43)</f>
        <v>2</v>
      </c>
      <c r="R44" s="57"/>
      <c r="S44" s="147">
        <f>SUM(S39:S43)</f>
        <v>2</v>
      </c>
      <c r="T44" s="57"/>
      <c r="U44" s="147">
        <f>SUM(U39:U43)</f>
        <v>160</v>
      </c>
      <c r="V44" s="147"/>
      <c r="W44" s="147">
        <v>257</v>
      </c>
      <c r="X44" s="147"/>
      <c r="Y44" s="147">
        <f>Y43</f>
        <v>257</v>
      </c>
      <c r="Z44" s="36" t="s">
        <v>3</v>
      </c>
      <c r="AB44" s="77">
        <f>SUM(AB39:AB43)</f>
        <v>260</v>
      </c>
      <c r="AE44" s="88" t="s">
        <v>206</v>
      </c>
      <c r="AF44" s="88"/>
      <c r="AG44" s="245"/>
      <c r="AH44" s="293">
        <f>U48</f>
        <v>26178</v>
      </c>
      <c r="AI44" s="258">
        <f t="shared" si="2"/>
        <v>5.057682023072807E-2</v>
      </c>
    </row>
    <row r="45" spans="2:35" ht="20" thickBot="1" x14ac:dyDescent="0.3">
      <c r="F45" s="63"/>
      <c r="G45" s="63"/>
      <c r="H45" s="164"/>
      <c r="I45" s="63"/>
      <c r="J45" s="63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9"/>
      <c r="AB45" s="63"/>
      <c r="AE45" s="88" t="s">
        <v>219</v>
      </c>
      <c r="AF45" s="88"/>
      <c r="AG45" s="245"/>
      <c r="AH45" s="293">
        <f>W48</f>
        <v>26848.713499999998</v>
      </c>
      <c r="AI45" s="258">
        <f t="shared" si="2"/>
        <v>2.4981215580403782E-2</v>
      </c>
    </row>
    <row r="46" spans="2:35" ht="19" x14ac:dyDescent="0.25">
      <c r="B46" s="22" t="s">
        <v>136</v>
      </c>
      <c r="F46" s="80" t="s">
        <v>3</v>
      </c>
      <c r="G46" s="81">
        <f>G35</f>
        <v>15966</v>
      </c>
      <c r="H46" s="165">
        <f>H35</f>
        <v>19195</v>
      </c>
      <c r="I46" s="63" t="s">
        <v>3</v>
      </c>
      <c r="J46" s="39">
        <f t="shared" ref="J46:O46" si="4">J35</f>
        <v>21753</v>
      </c>
      <c r="K46" s="180">
        <f t="shared" si="4"/>
        <v>18486</v>
      </c>
      <c r="L46" s="147">
        <f t="shared" si="4"/>
        <v>20791</v>
      </c>
      <c r="M46" s="184">
        <f t="shared" si="4"/>
        <v>21206</v>
      </c>
      <c r="N46" s="184">
        <f t="shared" si="4"/>
        <v>0</v>
      </c>
      <c r="O46" s="184">
        <f t="shared" si="4"/>
        <v>22172</v>
      </c>
      <c r="P46" s="184"/>
      <c r="Q46" s="184">
        <f t="shared" ref="Q46:S46" si="5">Q35</f>
        <v>23288</v>
      </c>
      <c r="R46" s="184"/>
      <c r="S46" s="184">
        <f t="shared" si="5"/>
        <v>24856</v>
      </c>
      <c r="T46" s="184"/>
      <c r="U46" s="184">
        <f t="shared" ref="U46" si="6">U35</f>
        <v>26338</v>
      </c>
      <c r="V46" s="184"/>
      <c r="W46" s="184">
        <v>27105.713499999998</v>
      </c>
      <c r="X46" s="184"/>
      <c r="Y46" s="184">
        <f>Y35</f>
        <v>28181</v>
      </c>
      <c r="Z46" s="36" t="s">
        <v>3</v>
      </c>
      <c r="AB46" s="69">
        <f>AB35</f>
        <v>18847</v>
      </c>
      <c r="AE46" s="88" t="s">
        <v>269</v>
      </c>
      <c r="AH46" s="293">
        <f>Y48</f>
        <v>27924</v>
      </c>
      <c r="AI46" s="258">
        <f t="shared" si="2"/>
        <v>3.8507609941269227E-2</v>
      </c>
    </row>
    <row r="47" spans="2:35" ht="16" thickBot="1" x14ac:dyDescent="0.25">
      <c r="B47" s="22" t="s">
        <v>145</v>
      </c>
      <c r="E47" t="s">
        <v>3</v>
      </c>
      <c r="F47" s="82" t="s">
        <v>3</v>
      </c>
      <c r="G47" s="58">
        <f>G44</f>
        <v>3480</v>
      </c>
      <c r="H47" s="168">
        <f>H44</f>
        <v>90</v>
      </c>
      <c r="I47" s="63" t="s">
        <v>3</v>
      </c>
      <c r="J47" s="58">
        <f t="shared" ref="J47:O47" si="7">J44</f>
        <v>1401</v>
      </c>
      <c r="K47" s="191">
        <f t="shared" si="7"/>
        <v>210</v>
      </c>
      <c r="L47" s="146">
        <f t="shared" si="7"/>
        <v>2550</v>
      </c>
      <c r="M47" s="146">
        <f t="shared" si="7"/>
        <v>0</v>
      </c>
      <c r="N47" s="146">
        <f t="shared" si="7"/>
        <v>15</v>
      </c>
      <c r="O47" s="146">
        <f t="shared" si="7"/>
        <v>26</v>
      </c>
      <c r="P47" s="146"/>
      <c r="Q47" s="146">
        <f t="shared" ref="Q47:S47" si="8">Q44</f>
        <v>2</v>
      </c>
      <c r="R47" s="146"/>
      <c r="S47" s="146">
        <f t="shared" si="8"/>
        <v>2</v>
      </c>
      <c r="T47" s="146"/>
      <c r="U47" s="381">
        <f t="shared" ref="U47" si="9">U44</f>
        <v>160</v>
      </c>
      <c r="V47" s="381"/>
      <c r="W47" s="381">
        <v>257</v>
      </c>
      <c r="X47" s="381"/>
      <c r="Y47" s="381">
        <f>Y44</f>
        <v>257</v>
      </c>
      <c r="Z47" s="36" t="s">
        <v>3</v>
      </c>
      <c r="AB47" s="59">
        <f>AB44</f>
        <v>260</v>
      </c>
    </row>
    <row r="48" spans="2:35" s="22" customFormat="1" ht="17" thickBot="1" x14ac:dyDescent="0.25">
      <c r="B48" s="22" t="s">
        <v>146</v>
      </c>
      <c r="F48" s="83" t="s">
        <v>3</v>
      </c>
      <c r="G48" s="83">
        <f>SUM(G46-G47)</f>
        <v>12486</v>
      </c>
      <c r="H48" s="169">
        <f>H35-H44</f>
        <v>19105</v>
      </c>
      <c r="I48" s="65"/>
      <c r="J48" s="83">
        <f>SUM(J46-J47)</f>
        <v>20352</v>
      </c>
      <c r="K48" s="192">
        <f>SUM(K35-K44)</f>
        <v>18276</v>
      </c>
      <c r="L48" s="193">
        <f>SUM(L35-L44)</f>
        <v>18241</v>
      </c>
      <c r="M48" s="198">
        <f>SUM(M35-M44)</f>
        <v>21206</v>
      </c>
      <c r="N48" s="198">
        <f>SUM(N35-N44)</f>
        <v>-15</v>
      </c>
      <c r="O48" s="198">
        <f>SUM(O35-O44)</f>
        <v>22146</v>
      </c>
      <c r="P48" s="265"/>
      <c r="Q48" s="198">
        <f>SUM(Q35-Q44)</f>
        <v>23286</v>
      </c>
      <c r="R48" s="265"/>
      <c r="S48" s="198">
        <f>SUM(S35-S44)</f>
        <v>24854</v>
      </c>
      <c r="T48" s="265"/>
      <c r="U48" s="198">
        <f>SUM(U35-U44)</f>
        <v>26178</v>
      </c>
      <c r="V48" s="198"/>
      <c r="W48" s="198">
        <v>26848.713499999998</v>
      </c>
      <c r="X48" s="198"/>
      <c r="Y48" s="198">
        <f>SUM(Y35-Y44)</f>
        <v>27924</v>
      </c>
      <c r="Z48" s="84" t="s">
        <v>3</v>
      </c>
      <c r="AB48" s="60">
        <f>SUM(AB35-AB44)</f>
        <v>18587</v>
      </c>
      <c r="AC48" s="48"/>
      <c r="AE48"/>
      <c r="AF48"/>
      <c r="AG48"/>
      <c r="AH48"/>
    </row>
    <row r="49" spans="4:35" ht="19" x14ac:dyDescent="0.25"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85" t="s">
        <v>3</v>
      </c>
      <c r="AA49" s="86" t="s">
        <v>3</v>
      </c>
      <c r="AD49" s="87" t="s">
        <v>3</v>
      </c>
      <c r="AE49" s="22"/>
      <c r="AF49" s="22"/>
      <c r="AG49" s="22"/>
      <c r="AH49" s="22"/>
    </row>
    <row r="50" spans="4:35" ht="19" x14ac:dyDescent="0.2">
      <c r="D50" s="417" t="s">
        <v>272</v>
      </c>
      <c r="E50" s="416"/>
      <c r="F50" s="416"/>
      <c r="G50" s="416"/>
      <c r="H50" s="416"/>
      <c r="I50" s="416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6"/>
      <c r="AC50" s="416"/>
      <c r="AD50" s="416"/>
      <c r="AE50" s="416"/>
      <c r="AF50" s="416"/>
      <c r="AG50" s="416"/>
      <c r="AH50" s="416"/>
      <c r="AI50" s="416"/>
    </row>
  </sheetData>
  <mergeCells count="1">
    <mergeCell ref="D50:AI50"/>
  </mergeCells>
  <pageMargins left="0.25" right="0.25" top="0.75000000000000011" bottom="0.75000000000000011" header="0.30000000000000004" footer="0.30000000000000004"/>
  <pageSetup paperSize="9" scale="64" orientation="landscape"/>
  <headerFooter alignWithMargins="0">
    <oddHeader>&amp;R&amp;"Calibri,Regular"&amp;K000000&amp;A              &amp;D</oddHeader>
    <oddFooter>&amp;C&amp;"Calibri,Regular"&amp;12&amp;K000000Kirton &amp; Falkenham Parish Council Financial report 2025/26</oddFooter>
  </headerFooter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49"/>
  <sheetViews>
    <sheetView view="pageLayout" zoomScaleNormal="100" workbookViewId="0">
      <selection activeCell="I21" sqref="I20:I21"/>
    </sheetView>
  </sheetViews>
  <sheetFormatPr baseColWidth="10" defaultColWidth="8.83203125" defaultRowHeight="15" x14ac:dyDescent="0.2"/>
  <cols>
    <col min="1" max="1" width="27.1640625" customWidth="1"/>
    <col min="2" max="2" width="1" customWidth="1"/>
    <col min="3" max="3" width="11.5" bestFit="1" customWidth="1"/>
    <col min="4" max="4" width="1.1640625" customWidth="1"/>
    <col min="5" max="5" width="13.33203125" customWidth="1"/>
    <col min="6" max="6" width="2.1640625" customWidth="1"/>
    <col min="7" max="7" width="12" customWidth="1"/>
    <col min="8" max="8" width="0.83203125" customWidth="1"/>
    <col min="9" max="9" width="14.1640625" customWidth="1"/>
    <col min="10" max="10" width="0.83203125" customWidth="1"/>
    <col min="12" max="12" width="20.1640625" customWidth="1"/>
  </cols>
  <sheetData>
    <row r="1" spans="1:13" ht="27" customHeight="1" x14ac:dyDescent="0.25">
      <c r="A1" s="418" t="s">
        <v>173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</row>
    <row r="2" spans="1:13" ht="25" x14ac:dyDescent="0.25">
      <c r="A2" s="418" t="s">
        <v>174</v>
      </c>
      <c r="B2" s="419"/>
      <c r="C2" s="419"/>
      <c r="D2" s="419"/>
      <c r="E2" s="419"/>
      <c r="F2" s="419"/>
      <c r="G2" s="419"/>
      <c r="H2" s="419"/>
      <c r="I2" s="419"/>
      <c r="J2" s="419"/>
      <c r="K2" s="419"/>
    </row>
    <row r="3" spans="1:13" x14ac:dyDescent="0.2">
      <c r="A3" s="12"/>
      <c r="B3" s="12"/>
      <c r="C3" s="14"/>
      <c r="D3" s="12"/>
      <c r="E3" s="12"/>
      <c r="F3" s="12"/>
      <c r="G3" s="14"/>
      <c r="H3" s="12"/>
      <c r="I3" s="14"/>
      <c r="J3" s="13"/>
      <c r="K3" s="13"/>
      <c r="L3" s="13"/>
      <c r="M3" s="13"/>
    </row>
    <row r="4" spans="1:13" ht="17" thickBot="1" x14ac:dyDescent="0.25">
      <c r="A4" s="218"/>
      <c r="B4" s="11"/>
      <c r="C4" s="11"/>
      <c r="D4" s="219"/>
      <c r="E4" s="220" t="s">
        <v>15</v>
      </c>
      <c r="F4" s="219"/>
      <c r="G4" s="221"/>
      <c r="H4" s="219"/>
      <c r="I4" s="220" t="s">
        <v>16</v>
      </c>
      <c r="J4" s="222"/>
      <c r="K4" s="223"/>
      <c r="L4" s="12"/>
      <c r="M4" s="12"/>
    </row>
    <row r="5" spans="1:13" ht="16" x14ac:dyDescent="0.2">
      <c r="A5" s="7" t="s">
        <v>169</v>
      </c>
      <c r="B5" s="3"/>
      <c r="C5" s="211"/>
      <c r="D5" s="211"/>
      <c r="E5" s="211">
        <f>'4.Bank Reconciliation'!D3</f>
        <v>42149.69</v>
      </c>
      <c r="F5" s="211"/>
      <c r="G5" s="212"/>
      <c r="H5" s="211"/>
      <c r="I5" s="211"/>
      <c r="J5" s="13"/>
      <c r="K5" s="12"/>
      <c r="L5" s="12"/>
      <c r="M5" s="12"/>
    </row>
    <row r="6" spans="1:13" ht="16" x14ac:dyDescent="0.2">
      <c r="A6" s="6" t="s">
        <v>45</v>
      </c>
      <c r="B6" s="3"/>
      <c r="C6" s="211">
        <f>'2.Receipts'!I28</f>
        <v>26849</v>
      </c>
      <c r="D6" s="211"/>
      <c r="E6" s="213"/>
      <c r="F6" s="214"/>
      <c r="G6" s="211"/>
      <c r="H6" s="211"/>
      <c r="I6" s="211"/>
      <c r="J6" s="13"/>
      <c r="K6" s="12"/>
      <c r="L6" s="12"/>
      <c r="M6" s="14"/>
    </row>
    <row r="7" spans="1:13" ht="16" x14ac:dyDescent="0.2">
      <c r="A7" s="6" t="s">
        <v>47</v>
      </c>
      <c r="B7" s="3"/>
      <c r="C7" s="211">
        <f>'2.Receipts'!J28</f>
        <v>170.36</v>
      </c>
      <c r="D7" s="211"/>
      <c r="E7" s="213"/>
      <c r="F7" s="214"/>
      <c r="G7" s="211"/>
      <c r="H7" s="211"/>
      <c r="I7" s="211"/>
      <c r="J7" s="13"/>
      <c r="K7" s="12"/>
      <c r="L7" s="12"/>
      <c r="M7" s="14"/>
    </row>
    <row r="8" spans="1:13" ht="16" x14ac:dyDescent="0.2">
      <c r="A8" s="6" t="s">
        <v>48</v>
      </c>
      <c r="B8" s="3"/>
      <c r="C8" s="211">
        <f>'2.Receipts'!K28</f>
        <v>2991.2</v>
      </c>
      <c r="D8" s="211"/>
      <c r="E8" s="213"/>
      <c r="F8" s="214"/>
      <c r="G8" s="211"/>
      <c r="H8" s="211"/>
      <c r="I8" s="211"/>
      <c r="J8" s="13"/>
      <c r="K8" s="12"/>
    </row>
    <row r="9" spans="1:13" ht="16" x14ac:dyDescent="0.2">
      <c r="A9" s="6" t="s">
        <v>46</v>
      </c>
      <c r="B9" s="3"/>
      <c r="C9" s="211">
        <f>'2.Receipts'!F34</f>
        <v>451.95</v>
      </c>
      <c r="D9" s="211"/>
      <c r="E9" s="213"/>
      <c r="F9" s="214"/>
      <c r="G9" s="215"/>
      <c r="H9" s="211"/>
      <c r="I9" s="211"/>
      <c r="J9" s="13"/>
      <c r="K9" s="13"/>
      <c r="L9" s="12"/>
      <c r="M9" s="13"/>
    </row>
    <row r="10" spans="1:13" ht="16" x14ac:dyDescent="0.2">
      <c r="A10" s="6" t="s">
        <v>49</v>
      </c>
      <c r="B10" s="3"/>
      <c r="C10" s="211">
        <f>'2.Receipts'!M28</f>
        <v>3576.59</v>
      </c>
      <c r="D10" s="211"/>
      <c r="E10" s="213"/>
      <c r="F10" s="211"/>
      <c r="G10" s="211"/>
      <c r="H10" s="211"/>
      <c r="I10" s="211"/>
      <c r="J10" s="13"/>
      <c r="K10" s="13"/>
      <c r="M10" s="13"/>
    </row>
    <row r="11" spans="1:13" ht="16" x14ac:dyDescent="0.2">
      <c r="A11" s="6" t="s">
        <v>167</v>
      </c>
      <c r="B11" s="3"/>
      <c r="C11" s="211">
        <f>'2.Receipts'!N28</f>
        <v>0</v>
      </c>
      <c r="D11" s="211"/>
      <c r="E11" s="213"/>
      <c r="F11" s="211"/>
      <c r="G11" s="211"/>
      <c r="H11" s="211"/>
      <c r="I11" s="211"/>
      <c r="J11" s="13"/>
      <c r="K11" s="13"/>
      <c r="L11" s="13"/>
      <c r="M11" s="13"/>
    </row>
    <row r="12" spans="1:13" ht="16" x14ac:dyDescent="0.2">
      <c r="A12" s="6" t="s">
        <v>166</v>
      </c>
      <c r="B12" s="3"/>
      <c r="C12" s="215">
        <f>'2.Receipts'!O28</f>
        <v>13300</v>
      </c>
      <c r="D12" s="211"/>
      <c r="E12" s="213"/>
      <c r="F12" s="211"/>
      <c r="G12" s="211"/>
      <c r="H12" s="211"/>
      <c r="I12" s="211"/>
      <c r="J12" s="13"/>
      <c r="K12" s="13"/>
      <c r="L12" s="13"/>
      <c r="M12" s="13"/>
    </row>
    <row r="13" spans="1:13" ht="16" x14ac:dyDescent="0.2">
      <c r="A13" s="6" t="s">
        <v>168</v>
      </c>
      <c r="B13" s="3"/>
      <c r="C13" s="215">
        <f>'2.Receipts'!P28</f>
        <v>0</v>
      </c>
      <c r="D13" s="211"/>
      <c r="E13" s="213"/>
      <c r="F13" s="211"/>
      <c r="G13" s="211"/>
      <c r="H13" s="211"/>
      <c r="I13" s="211"/>
      <c r="J13" s="13"/>
      <c r="K13" s="13"/>
      <c r="L13" s="13"/>
      <c r="M13" s="13"/>
    </row>
    <row r="14" spans="1:13" ht="16" x14ac:dyDescent="0.2">
      <c r="A14" s="6" t="s">
        <v>87</v>
      </c>
      <c r="B14" s="3"/>
      <c r="C14" s="215">
        <f>'2.Receipts'!Q28</f>
        <v>125</v>
      </c>
      <c r="D14" s="211"/>
      <c r="E14" s="213"/>
      <c r="F14" s="211"/>
      <c r="G14" s="211"/>
      <c r="H14" s="211"/>
      <c r="I14" s="211"/>
      <c r="J14" s="13"/>
      <c r="K14" s="13"/>
      <c r="L14" s="13"/>
      <c r="M14" s="13"/>
    </row>
    <row r="15" spans="1:13" ht="17" x14ac:dyDescent="0.2">
      <c r="A15" s="208" t="s">
        <v>32</v>
      </c>
      <c r="B15" s="3"/>
      <c r="C15" s="213"/>
      <c r="D15" s="211"/>
      <c r="E15" s="213"/>
      <c r="F15" s="211"/>
      <c r="G15" s="211">
        <f>'3.Payments'!H103</f>
        <v>6832.06</v>
      </c>
      <c r="H15" s="211"/>
      <c r="I15" s="211"/>
      <c r="J15" s="13"/>
      <c r="K15" s="13"/>
      <c r="L15" s="13"/>
      <c r="M15" s="13"/>
    </row>
    <row r="16" spans="1:13" ht="17" x14ac:dyDescent="0.2">
      <c r="A16" s="209" t="s">
        <v>33</v>
      </c>
      <c r="B16" s="3"/>
      <c r="C16" s="213"/>
      <c r="D16" s="211"/>
      <c r="E16" s="213"/>
      <c r="F16" s="211"/>
      <c r="G16" s="215">
        <f>'3.Payments'!I103</f>
        <v>541.16999999999996</v>
      </c>
      <c r="H16" s="211"/>
      <c r="I16" s="211"/>
      <c r="J16" s="13"/>
      <c r="K16" s="13"/>
      <c r="L16" s="13"/>
      <c r="M16" s="13"/>
    </row>
    <row r="17" spans="1:13" ht="17" x14ac:dyDescent="0.2">
      <c r="A17" s="209" t="s">
        <v>18</v>
      </c>
      <c r="B17" s="3"/>
      <c r="C17" s="213"/>
      <c r="D17" s="211"/>
      <c r="E17" s="213"/>
      <c r="F17" s="211"/>
      <c r="G17" s="215">
        <f>'3.Payments'!J103</f>
        <v>0</v>
      </c>
      <c r="H17" s="211"/>
      <c r="I17" s="211"/>
      <c r="J17" s="13"/>
      <c r="K17" s="13"/>
      <c r="L17" s="13"/>
      <c r="M17" s="13"/>
    </row>
    <row r="18" spans="1:13" ht="17" x14ac:dyDescent="0.2">
      <c r="A18" s="209" t="s">
        <v>34</v>
      </c>
      <c r="B18" s="3"/>
      <c r="C18" s="213"/>
      <c r="D18" s="211"/>
      <c r="E18" s="213"/>
      <c r="F18" s="211"/>
      <c r="G18" s="215">
        <f>'3.Payments'!K103</f>
        <v>1504.62</v>
      </c>
      <c r="H18" s="211"/>
      <c r="I18" s="211"/>
      <c r="J18" s="13"/>
      <c r="K18" s="13"/>
      <c r="L18" s="13"/>
      <c r="M18" s="13"/>
    </row>
    <row r="19" spans="1:13" ht="34" x14ac:dyDescent="0.2">
      <c r="A19" s="209" t="s">
        <v>35</v>
      </c>
      <c r="B19" s="3"/>
      <c r="C19" s="213"/>
      <c r="D19" s="211"/>
      <c r="E19" s="213"/>
      <c r="F19" s="211"/>
      <c r="G19" s="215">
        <f>'3.Payments'!L103</f>
        <v>1104.8000000000002</v>
      </c>
      <c r="H19" s="211"/>
      <c r="I19" s="211"/>
      <c r="J19" s="13"/>
      <c r="K19" s="13"/>
      <c r="L19" s="13"/>
      <c r="M19" s="13"/>
    </row>
    <row r="20" spans="1:13" ht="17" x14ac:dyDescent="0.2">
      <c r="A20" s="209" t="s">
        <v>36</v>
      </c>
      <c r="B20" s="3"/>
      <c r="C20" s="213"/>
      <c r="D20" s="211"/>
      <c r="E20" s="213"/>
      <c r="F20" s="211"/>
      <c r="G20" s="215">
        <f>'3.Payments'!M103</f>
        <v>243.17000000000002</v>
      </c>
      <c r="H20" s="211"/>
      <c r="I20" s="211"/>
      <c r="J20" s="13"/>
      <c r="K20" s="13"/>
      <c r="L20" s="13"/>
      <c r="M20" s="13"/>
    </row>
    <row r="21" spans="1:13" ht="17" x14ac:dyDescent="0.2">
      <c r="A21" s="209" t="s">
        <v>37</v>
      </c>
      <c r="B21" s="3"/>
      <c r="C21" s="213"/>
      <c r="D21" s="211"/>
      <c r="E21" s="213"/>
      <c r="F21" s="211"/>
      <c r="G21" s="215">
        <f>'3.Payments'!N103</f>
        <v>0</v>
      </c>
      <c r="H21" s="211"/>
      <c r="I21" s="211"/>
      <c r="J21" s="13"/>
      <c r="K21" s="13"/>
      <c r="L21" s="13"/>
      <c r="M21" s="13"/>
    </row>
    <row r="22" spans="1:13" ht="17" x14ac:dyDescent="0.2">
      <c r="A22" s="209" t="s">
        <v>38</v>
      </c>
      <c r="B22" s="3"/>
      <c r="C22" s="213"/>
      <c r="D22" s="211"/>
      <c r="E22" s="216"/>
      <c r="F22" s="211"/>
      <c r="G22" s="215">
        <f>'3.Payments'!O103</f>
        <v>1925</v>
      </c>
      <c r="H22" s="211"/>
      <c r="I22" s="211"/>
      <c r="J22" s="13"/>
      <c r="K22" s="13"/>
      <c r="L22" s="13"/>
      <c r="M22" s="13"/>
    </row>
    <row r="23" spans="1:13" ht="17" x14ac:dyDescent="0.2">
      <c r="A23" s="209" t="s">
        <v>39</v>
      </c>
      <c r="B23" s="7"/>
      <c r="C23" s="213"/>
      <c r="D23" s="211"/>
      <c r="E23" s="217"/>
      <c r="F23" s="211"/>
      <c r="G23" s="215">
        <f>'3.Payments'!P103</f>
        <v>0</v>
      </c>
      <c r="H23" s="211"/>
      <c r="I23" s="211"/>
      <c r="J23" s="13"/>
      <c r="K23" s="13"/>
      <c r="L23" s="13"/>
      <c r="M23" s="13"/>
    </row>
    <row r="24" spans="1:13" ht="17" x14ac:dyDescent="0.2">
      <c r="A24" s="209" t="s">
        <v>40</v>
      </c>
      <c r="B24" s="7"/>
      <c r="C24" s="213"/>
      <c r="D24" s="211"/>
      <c r="E24" s="217"/>
      <c r="F24" s="211"/>
      <c r="G24" s="215">
        <f>'3.Payments'!Q103</f>
        <v>1236</v>
      </c>
      <c r="H24" s="211"/>
      <c r="I24" s="211"/>
      <c r="J24" s="13"/>
      <c r="K24" s="13"/>
      <c r="L24" s="13"/>
      <c r="M24" s="13"/>
    </row>
    <row r="25" spans="1:13" ht="17" x14ac:dyDescent="0.2">
      <c r="A25" s="209" t="s">
        <v>41</v>
      </c>
      <c r="B25" s="7"/>
      <c r="C25" s="213"/>
      <c r="D25" s="211"/>
      <c r="E25" s="217"/>
      <c r="F25" s="211"/>
      <c r="G25" s="215">
        <f>'3.Payments'!R103</f>
        <v>0</v>
      </c>
      <c r="H25" s="211"/>
      <c r="I25" s="211"/>
      <c r="J25" s="13"/>
      <c r="K25" s="13"/>
      <c r="L25" s="13"/>
      <c r="M25" s="13"/>
    </row>
    <row r="26" spans="1:13" ht="17" customHeight="1" x14ac:dyDescent="0.2">
      <c r="A26" s="209" t="s">
        <v>42</v>
      </c>
      <c r="B26" s="7"/>
      <c r="C26" s="213"/>
      <c r="D26" s="211"/>
      <c r="E26" s="217"/>
      <c r="F26" s="211"/>
      <c r="G26" s="215">
        <f>'3.Payments'!S103</f>
        <v>15442.58</v>
      </c>
      <c r="H26" s="211"/>
      <c r="I26" s="211"/>
      <c r="J26" s="13"/>
      <c r="K26" s="13"/>
      <c r="L26" s="13"/>
      <c r="M26" s="13"/>
    </row>
    <row r="27" spans="1:13" ht="17" x14ac:dyDescent="0.2">
      <c r="A27" s="208" t="s">
        <v>44</v>
      </c>
      <c r="B27" s="7"/>
      <c r="C27" s="213"/>
      <c r="D27" s="211"/>
      <c r="E27" s="217"/>
      <c r="F27" s="211"/>
      <c r="G27" s="215">
        <f>'3.Payments'!T103</f>
        <v>73</v>
      </c>
      <c r="H27" s="211"/>
      <c r="I27" s="211"/>
      <c r="J27" s="13"/>
      <c r="K27" s="13"/>
      <c r="L27" s="13"/>
      <c r="M27" s="13"/>
    </row>
    <row r="28" spans="1:13" ht="17" x14ac:dyDescent="0.2">
      <c r="A28" s="208" t="s">
        <v>88</v>
      </c>
      <c r="B28" s="7"/>
      <c r="C28" s="213"/>
      <c r="D28" s="211"/>
      <c r="E28" s="217"/>
      <c r="F28" s="211"/>
      <c r="G28" s="215">
        <f>'3.Payments'!U103</f>
        <v>8883.1999999999989</v>
      </c>
      <c r="H28" s="211"/>
      <c r="I28" s="211"/>
      <c r="J28" s="13"/>
      <c r="K28" s="13"/>
      <c r="L28" s="13"/>
      <c r="M28" s="13"/>
    </row>
    <row r="29" spans="1:13" ht="17" x14ac:dyDescent="0.2">
      <c r="A29" s="208" t="s">
        <v>89</v>
      </c>
      <c r="B29" s="7"/>
      <c r="C29" s="213"/>
      <c r="D29" s="211"/>
      <c r="E29" s="217"/>
      <c r="F29" s="211"/>
      <c r="G29" s="215">
        <f>'3.Payments'!V103</f>
        <v>0</v>
      </c>
      <c r="H29" s="211"/>
      <c r="I29" s="211"/>
      <c r="J29" s="13"/>
      <c r="K29" s="13"/>
      <c r="L29" s="13"/>
      <c r="M29" s="13"/>
    </row>
    <row r="30" spans="1:13" ht="16" x14ac:dyDescent="0.2">
      <c r="A30" s="208"/>
      <c r="B30" s="7"/>
      <c r="C30" s="213"/>
      <c r="D30" s="211"/>
      <c r="E30" s="229">
        <f>SUM(C6:C14)</f>
        <v>47464.100000000006</v>
      </c>
      <c r="F30" s="216"/>
      <c r="G30" s="230"/>
      <c r="H30" s="216"/>
      <c r="I30" s="216">
        <f>SUM(G15:G29)</f>
        <v>37785.599999999999</v>
      </c>
      <c r="J30" s="13"/>
      <c r="K30" s="13"/>
      <c r="L30" s="13"/>
      <c r="M30" s="13"/>
    </row>
    <row r="31" spans="1:13" ht="17" thickBot="1" x14ac:dyDescent="0.25">
      <c r="A31" s="219"/>
      <c r="B31" s="219"/>
      <c r="C31" s="224"/>
      <c r="D31" s="224"/>
      <c r="E31" s="224"/>
      <c r="F31" s="224"/>
      <c r="G31" s="224"/>
      <c r="H31" s="224"/>
      <c r="I31" s="224"/>
      <c r="J31" s="222"/>
      <c r="K31" s="222"/>
      <c r="L31" s="13"/>
      <c r="M31" s="13"/>
    </row>
    <row r="32" spans="1:13" ht="16" x14ac:dyDescent="0.2">
      <c r="A32" s="7" t="s">
        <v>171</v>
      </c>
      <c r="B32" s="7"/>
      <c r="C32" s="211"/>
      <c r="D32" s="211"/>
      <c r="E32" s="213"/>
      <c r="F32" s="211"/>
      <c r="G32" s="211"/>
      <c r="H32" s="211"/>
      <c r="I32" s="211"/>
      <c r="J32" s="13"/>
      <c r="K32" s="13"/>
      <c r="L32" s="13"/>
      <c r="M32" s="13"/>
    </row>
    <row r="33" spans="1:13" ht="22" customHeight="1" thickBot="1" x14ac:dyDescent="0.25">
      <c r="A33" s="219" t="s">
        <v>172</v>
      </c>
      <c r="B33" s="219"/>
      <c r="C33" s="224"/>
      <c r="D33" s="224"/>
      <c r="E33" s="224"/>
      <c r="F33" s="224"/>
      <c r="G33" s="224"/>
      <c r="H33" s="224"/>
      <c r="I33" s="224">
        <f>'4.Bank Reconciliation'!D21</f>
        <v>51828.19</v>
      </c>
      <c r="J33" s="222"/>
      <c r="K33" s="222"/>
      <c r="L33" s="13"/>
      <c r="M33" s="13"/>
    </row>
    <row r="34" spans="1:13" ht="30" customHeight="1" thickBot="1" x14ac:dyDescent="0.25">
      <c r="A34" s="225" t="s">
        <v>165</v>
      </c>
      <c r="B34" s="226"/>
      <c r="C34" s="227"/>
      <c r="D34" s="227"/>
      <c r="E34" s="231">
        <f>E30+E5</f>
        <v>89613.790000000008</v>
      </c>
      <c r="F34" s="232"/>
      <c r="G34" s="232"/>
      <c r="H34" s="232"/>
      <c r="I34" s="232">
        <f>I33+I30</f>
        <v>89613.790000000008</v>
      </c>
      <c r="J34" s="228"/>
      <c r="K34" s="228"/>
      <c r="L34" s="13"/>
      <c r="M34" s="13"/>
    </row>
    <row r="35" spans="1:13" ht="16" x14ac:dyDescent="0.2">
      <c r="A35" s="7"/>
      <c r="B35" s="207"/>
      <c r="C35" s="213"/>
      <c r="D35" s="213"/>
      <c r="E35" s="213"/>
      <c r="F35" s="213"/>
      <c r="G35" s="213"/>
      <c r="H35" s="213"/>
      <c r="I35" s="213"/>
      <c r="J35" s="13"/>
      <c r="K35" s="13"/>
      <c r="L35" s="13"/>
      <c r="M35" s="13"/>
    </row>
    <row r="36" spans="1:13" ht="34" x14ac:dyDescent="0.2">
      <c r="A36" s="210" t="s">
        <v>170</v>
      </c>
      <c r="B36" s="207"/>
      <c r="C36" s="213">
        <f>'3.Payments'!W103</f>
        <v>124.72</v>
      </c>
      <c r="D36" s="213"/>
      <c r="E36" s="213"/>
      <c r="F36" s="213"/>
      <c r="G36" s="213"/>
      <c r="H36" s="213"/>
      <c r="I36" s="213"/>
      <c r="J36" s="13"/>
      <c r="K36" s="13"/>
      <c r="L36" s="13"/>
      <c r="M36" s="13"/>
    </row>
    <row r="37" spans="1:13" x14ac:dyDescent="0.2">
      <c r="J37" s="13"/>
      <c r="K37" s="13"/>
      <c r="L37" s="13"/>
      <c r="M37" s="13"/>
    </row>
    <row r="38" spans="1:13" x14ac:dyDescent="0.2">
      <c r="L38" s="13"/>
    </row>
    <row r="39" spans="1:13" ht="14" customHeight="1" x14ac:dyDescent="0.2">
      <c r="A39" t="s">
        <v>229</v>
      </c>
    </row>
    <row r="44" spans="1:13" x14ac:dyDescent="0.2">
      <c r="A44" t="s">
        <v>175</v>
      </c>
    </row>
    <row r="49" spans="1:1" x14ac:dyDescent="0.2">
      <c r="A49" t="s">
        <v>176</v>
      </c>
    </row>
  </sheetData>
  <mergeCells count="2">
    <mergeCell ref="A1:K1"/>
    <mergeCell ref="A2:K2"/>
  </mergeCells>
  <phoneticPr fontId="12" type="noConversion"/>
  <pageMargins left="0.70000000000000007" right="0.70000000000000007" top="0.75000000000000011" bottom="0.75000000000000011" header="0.30000000000000004" footer="0.30000000000000004"/>
  <pageSetup paperSize="9" scale="88" orientation="portrait" horizontalDpi="4294967293" verticalDpi="4294967293"/>
  <headerFooter>
    <oddHeader>&amp;R&amp;"Calibri,Regular"&amp;K000000&amp;A              &amp;D</oddHeader>
    <oddFooter>&amp;C&amp;"Calibri,Regular"&amp;12&amp;K000000Kirton &amp; Falkenham Parish Council Financial report 2025/26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33"/>
  <sheetViews>
    <sheetView view="pageLayout" zoomScaleNormal="100" workbookViewId="0">
      <selection activeCell="G26" sqref="G26"/>
    </sheetView>
  </sheetViews>
  <sheetFormatPr baseColWidth="10" defaultColWidth="8.83203125" defaultRowHeight="15" x14ac:dyDescent="0.2"/>
  <cols>
    <col min="1" max="1" width="27.1640625" customWidth="1"/>
    <col min="2" max="2" width="1" customWidth="1"/>
    <col min="3" max="3" width="12.5" bestFit="1" customWidth="1"/>
    <col min="4" max="4" width="1.1640625" customWidth="1"/>
    <col min="5" max="5" width="11.83203125" customWidth="1"/>
    <col min="6" max="6" width="1.1640625" customWidth="1"/>
    <col min="7" max="7" width="11.5" customWidth="1"/>
    <col min="8" max="8" width="1.33203125" customWidth="1"/>
    <col min="9" max="9" width="12.1640625" customWidth="1"/>
    <col min="10" max="10" width="0.83203125" customWidth="1"/>
    <col min="11" max="11" width="13.83203125" customWidth="1"/>
    <col min="12" max="12" width="1.33203125" customWidth="1"/>
    <col min="13" max="13" width="11.6640625" customWidth="1"/>
    <col min="14" max="14" width="4.83203125" customWidth="1"/>
    <col min="15" max="15" width="8.83203125" customWidth="1"/>
  </cols>
  <sheetData>
    <row r="1" spans="1:16" ht="27" customHeight="1" x14ac:dyDescent="0.25">
      <c r="A1" s="418" t="s">
        <v>173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6"/>
      <c r="M1" s="416"/>
      <c r="N1" s="416"/>
      <c r="O1" s="416"/>
      <c r="P1" s="416"/>
    </row>
    <row r="2" spans="1:16" ht="25" x14ac:dyDescent="0.25">
      <c r="A2" s="418" t="s">
        <v>177</v>
      </c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6"/>
      <c r="M2" s="416"/>
      <c r="N2" s="416"/>
      <c r="O2" s="416"/>
      <c r="P2" s="416"/>
    </row>
    <row r="3" spans="1:16" x14ac:dyDescent="0.2">
      <c r="A3" s="12"/>
      <c r="B3" s="12"/>
      <c r="C3" s="14"/>
      <c r="D3" s="12"/>
      <c r="E3" s="12"/>
      <c r="F3" s="12"/>
      <c r="G3" s="14"/>
      <c r="H3" s="12"/>
      <c r="I3" s="14"/>
      <c r="J3" s="13"/>
      <c r="K3" s="13"/>
      <c r="L3" s="13"/>
      <c r="M3" s="13"/>
    </row>
    <row r="4" spans="1:16" ht="17" thickBot="1" x14ac:dyDescent="0.25">
      <c r="A4" s="207"/>
      <c r="B4" s="3"/>
      <c r="C4" s="11"/>
      <c r="D4" s="219"/>
      <c r="E4" s="220" t="s">
        <v>15</v>
      </c>
      <c r="F4" s="219"/>
      <c r="G4" s="221"/>
      <c r="H4" s="7"/>
      <c r="I4" s="220" t="s">
        <v>16</v>
      </c>
      <c r="J4" s="222"/>
      <c r="K4" s="223"/>
      <c r="L4" s="233"/>
      <c r="M4" s="234"/>
      <c r="N4" s="237" t="s">
        <v>182</v>
      </c>
      <c r="O4" s="221"/>
      <c r="P4" s="221"/>
    </row>
    <row r="5" spans="1:16" x14ac:dyDescent="0.2">
      <c r="A5" s="236" t="s">
        <v>178</v>
      </c>
      <c r="B5" s="202"/>
      <c r="C5" s="202" t="s">
        <v>179</v>
      </c>
      <c r="D5" s="201"/>
      <c r="E5" s="201" t="s">
        <v>180</v>
      </c>
      <c r="F5" s="201"/>
      <c r="G5" s="236" t="s">
        <v>181</v>
      </c>
      <c r="H5" s="201"/>
      <c r="I5" s="202" t="s">
        <v>179</v>
      </c>
      <c r="J5" s="201"/>
      <c r="K5" s="201" t="s">
        <v>180</v>
      </c>
      <c r="L5" s="201"/>
      <c r="M5" s="236" t="s">
        <v>181</v>
      </c>
      <c r="N5" s="236" t="s">
        <v>183</v>
      </c>
      <c r="O5" s="236"/>
      <c r="P5" s="235"/>
    </row>
    <row r="6" spans="1:16" ht="28" customHeight="1" x14ac:dyDescent="0.2">
      <c r="A6" s="6" t="s">
        <v>45</v>
      </c>
      <c r="B6" s="3"/>
      <c r="C6" s="261">
        <f>E6</f>
        <v>26849</v>
      </c>
      <c r="D6" s="211"/>
      <c r="E6" s="211">
        <f>'2.Receipts'!I28</f>
        <v>26849</v>
      </c>
      <c r="F6" s="214"/>
      <c r="G6" s="211">
        <f>E6-C6</f>
        <v>0</v>
      </c>
      <c r="H6" s="211"/>
      <c r="I6" s="211"/>
      <c r="J6" s="7"/>
      <c r="K6" s="7"/>
      <c r="L6" s="7"/>
      <c r="M6" s="3"/>
      <c r="O6" s="238">
        <f t="shared" ref="O6:O14" si="0">IF(C6=0,"N/A",100*G6/C6)</f>
        <v>0</v>
      </c>
    </row>
    <row r="7" spans="1:16" ht="16" x14ac:dyDescent="0.2">
      <c r="A7" s="6" t="s">
        <v>47</v>
      </c>
      <c r="B7" s="3"/>
      <c r="C7" s="261">
        <v>605.73</v>
      </c>
      <c r="D7" s="211"/>
      <c r="E7" s="211">
        <f>'2.Receipts'!J28</f>
        <v>170.36</v>
      </c>
      <c r="F7" s="214"/>
      <c r="G7" s="242">
        <f t="shared" ref="G7:G14" si="1">C7-E7</f>
        <v>435.37</v>
      </c>
      <c r="H7" s="211"/>
      <c r="I7" s="211"/>
      <c r="J7" s="7"/>
      <c r="K7" s="7"/>
      <c r="L7" s="7"/>
      <c r="M7" s="3"/>
      <c r="O7" s="335">
        <f t="shared" si="0"/>
        <v>71.875257953213477</v>
      </c>
    </row>
    <row r="8" spans="1:16" ht="16" x14ac:dyDescent="0.2">
      <c r="A8" s="6" t="s">
        <v>48</v>
      </c>
      <c r="B8" s="3"/>
      <c r="C8" s="261">
        <v>1000</v>
      </c>
      <c r="D8" s="211"/>
      <c r="E8" s="211">
        <f>'2.Receipts'!K28</f>
        <v>2991.2</v>
      </c>
      <c r="F8" s="214"/>
      <c r="G8" s="243">
        <f t="shared" si="1"/>
        <v>-1991.1999999999998</v>
      </c>
      <c r="H8" s="211"/>
      <c r="I8" s="211"/>
      <c r="J8" s="7"/>
      <c r="K8" s="259"/>
      <c r="L8" s="7"/>
      <c r="M8" s="260"/>
      <c r="O8" s="335">
        <f t="shared" si="0"/>
        <v>-199.11999999999998</v>
      </c>
    </row>
    <row r="9" spans="1:16" ht="16" x14ac:dyDescent="0.2">
      <c r="A9" s="6" t="s">
        <v>46</v>
      </c>
      <c r="B9" s="3"/>
      <c r="C9" s="261">
        <v>15</v>
      </c>
      <c r="D9" s="211"/>
      <c r="E9" s="211">
        <f>'2.Receipts'!F32</f>
        <v>0</v>
      </c>
      <c r="F9" s="214"/>
      <c r="G9" s="242">
        <f t="shared" si="1"/>
        <v>15</v>
      </c>
      <c r="H9" s="211"/>
      <c r="I9" s="211"/>
      <c r="J9" s="7"/>
      <c r="K9" s="7"/>
      <c r="L9" s="7"/>
      <c r="M9" s="7"/>
      <c r="O9" s="335">
        <f t="shared" si="0"/>
        <v>100</v>
      </c>
    </row>
    <row r="10" spans="1:16" ht="16" x14ac:dyDescent="0.2">
      <c r="A10" s="6" t="s">
        <v>49</v>
      </c>
      <c r="B10" s="3"/>
      <c r="C10" s="207"/>
      <c r="D10" s="211"/>
      <c r="E10" s="211">
        <f>'2.Receipts'!M28</f>
        <v>3576.59</v>
      </c>
      <c r="F10" s="211"/>
      <c r="G10" s="243">
        <f t="shared" si="1"/>
        <v>-3576.59</v>
      </c>
      <c r="H10" s="211"/>
      <c r="I10" s="211"/>
      <c r="J10" s="7"/>
      <c r="K10" s="7"/>
      <c r="L10" s="7"/>
      <c r="M10" s="7"/>
      <c r="O10" s="335" t="str">
        <f t="shared" si="0"/>
        <v>N/A</v>
      </c>
    </row>
    <row r="11" spans="1:16" ht="16" x14ac:dyDescent="0.2">
      <c r="A11" s="6" t="s">
        <v>167</v>
      </c>
      <c r="B11" s="3"/>
      <c r="C11" s="207"/>
      <c r="D11" s="211"/>
      <c r="E11" s="211">
        <f>'2.Receipts'!N28</f>
        <v>0</v>
      </c>
      <c r="F11" s="211"/>
      <c r="G11" s="242">
        <f t="shared" si="1"/>
        <v>0</v>
      </c>
      <c r="H11" s="211"/>
      <c r="I11" s="211"/>
      <c r="J11" s="7"/>
      <c r="K11" s="7"/>
      <c r="L11" s="7"/>
      <c r="M11" s="7"/>
      <c r="O11" s="335" t="str">
        <f t="shared" si="0"/>
        <v>N/A</v>
      </c>
    </row>
    <row r="12" spans="1:16" ht="16" x14ac:dyDescent="0.2">
      <c r="A12" s="6" t="s">
        <v>166</v>
      </c>
      <c r="B12" s="3"/>
      <c r="C12" s="207"/>
      <c r="D12" s="211"/>
      <c r="E12" s="215">
        <f>'2.Receipts'!O28</f>
        <v>13300</v>
      </c>
      <c r="F12" s="211"/>
      <c r="G12" s="243">
        <f t="shared" si="1"/>
        <v>-13300</v>
      </c>
      <c r="H12" s="211"/>
      <c r="I12" s="211"/>
      <c r="J12" s="7"/>
      <c r="K12" s="7"/>
      <c r="L12" s="7"/>
      <c r="M12" s="7"/>
      <c r="O12" s="335" t="str">
        <f t="shared" si="0"/>
        <v>N/A</v>
      </c>
    </row>
    <row r="13" spans="1:16" ht="16" x14ac:dyDescent="0.2">
      <c r="A13" s="6" t="s">
        <v>168</v>
      </c>
      <c r="B13" s="3"/>
      <c r="C13" s="207"/>
      <c r="D13" s="211"/>
      <c r="E13" s="215">
        <f>'2.Receipts'!P28</f>
        <v>0</v>
      </c>
      <c r="F13" s="211"/>
      <c r="G13" s="211">
        <f t="shared" si="1"/>
        <v>0</v>
      </c>
      <c r="H13" s="211"/>
      <c r="I13" s="211"/>
      <c r="J13" s="7"/>
      <c r="K13" s="7"/>
      <c r="L13" s="7"/>
      <c r="M13" s="7"/>
      <c r="O13" s="335" t="str">
        <f t="shared" si="0"/>
        <v>N/A</v>
      </c>
    </row>
    <row r="14" spans="1:16" ht="16" x14ac:dyDescent="0.2">
      <c r="A14" s="6" t="s">
        <v>87</v>
      </c>
      <c r="B14" s="3"/>
      <c r="C14" s="207"/>
      <c r="D14" s="211"/>
      <c r="E14" s="215">
        <f>'2.Receipts'!Q28</f>
        <v>125</v>
      </c>
      <c r="F14" s="211"/>
      <c r="G14" s="211">
        <f t="shared" si="1"/>
        <v>-125</v>
      </c>
      <c r="H14" s="211"/>
      <c r="I14" s="211"/>
      <c r="J14" s="7"/>
      <c r="K14" s="7"/>
      <c r="L14" s="7"/>
      <c r="M14" s="7"/>
      <c r="O14" s="335" t="str">
        <f t="shared" si="0"/>
        <v>N/A</v>
      </c>
    </row>
    <row r="15" spans="1:16" ht="17" x14ac:dyDescent="0.2">
      <c r="A15" s="208" t="s">
        <v>32</v>
      </c>
      <c r="B15" s="3"/>
      <c r="C15" s="213"/>
      <c r="D15" s="211"/>
      <c r="E15" s="213"/>
      <c r="F15" s="211"/>
      <c r="G15" s="207"/>
      <c r="H15" s="211"/>
      <c r="I15" s="211">
        <f>'5.Budget monitor'!P6</f>
        <v>7723</v>
      </c>
      <c r="J15" s="7"/>
      <c r="K15" s="211">
        <f>'3.Payments'!H103</f>
        <v>6832.06</v>
      </c>
      <c r="L15" s="7"/>
      <c r="M15" s="243">
        <f t="shared" ref="M15:M29" si="2">I15-K15</f>
        <v>890.9399999999996</v>
      </c>
      <c r="O15" s="335">
        <f>IF(I15=0,"N/A",100*M15/I15)</f>
        <v>11.536190599507957</v>
      </c>
    </row>
    <row r="16" spans="1:16" ht="17" x14ac:dyDescent="0.2">
      <c r="A16" s="209" t="s">
        <v>33</v>
      </c>
      <c r="B16" s="3"/>
      <c r="C16" s="213"/>
      <c r="D16" s="211"/>
      <c r="E16" s="213"/>
      <c r="F16" s="211"/>
      <c r="G16" s="207"/>
      <c r="H16" s="211"/>
      <c r="I16" s="211">
        <f>'5.Budget monitor'!P7</f>
        <v>661</v>
      </c>
      <c r="J16" s="7"/>
      <c r="K16" s="215">
        <f>'3.Payments'!I103</f>
        <v>541.16999999999996</v>
      </c>
      <c r="L16" s="7"/>
      <c r="M16" s="211">
        <f t="shared" si="2"/>
        <v>119.83000000000004</v>
      </c>
      <c r="O16" s="335">
        <f t="shared" ref="O16:O29" si="3">IF(I16=0,"N/A",100*M16/I16)</f>
        <v>18.128593040847207</v>
      </c>
    </row>
    <row r="17" spans="1:15" ht="17" x14ac:dyDescent="0.2">
      <c r="A17" s="209" t="s">
        <v>18</v>
      </c>
      <c r="B17" s="3"/>
      <c r="C17" s="213"/>
      <c r="D17" s="211"/>
      <c r="E17" s="213"/>
      <c r="F17" s="211"/>
      <c r="G17" s="207"/>
      <c r="H17" s="211"/>
      <c r="I17" s="211">
        <f>'5.Budget monitor'!P8</f>
        <v>0</v>
      </c>
      <c r="J17" s="7"/>
      <c r="K17" s="215">
        <f>'3.Payments'!J103</f>
        <v>0</v>
      </c>
      <c r="L17" s="7"/>
      <c r="M17" s="211">
        <f t="shared" si="2"/>
        <v>0</v>
      </c>
      <c r="O17" s="335" t="str">
        <f t="shared" si="3"/>
        <v>N/A</v>
      </c>
    </row>
    <row r="18" spans="1:15" ht="17" x14ac:dyDescent="0.2">
      <c r="A18" s="209" t="s">
        <v>34</v>
      </c>
      <c r="B18" s="3"/>
      <c r="C18" s="213"/>
      <c r="D18" s="211"/>
      <c r="E18" s="213"/>
      <c r="F18" s="211"/>
      <c r="G18" s="207"/>
      <c r="H18" s="211"/>
      <c r="I18" s="211">
        <f>'5.Budget monitor'!P9</f>
        <v>1514</v>
      </c>
      <c r="J18" s="7"/>
      <c r="K18" s="215">
        <f>'3.Payments'!K103</f>
        <v>1504.62</v>
      </c>
      <c r="L18" s="7"/>
      <c r="M18" s="242">
        <f t="shared" si="2"/>
        <v>9.3800000000001091</v>
      </c>
      <c r="O18" s="335">
        <f t="shared" si="3"/>
        <v>0.61955085865258319</v>
      </c>
    </row>
    <row r="19" spans="1:15" ht="14" customHeight="1" x14ac:dyDescent="0.2">
      <c r="A19" s="207" t="s">
        <v>184</v>
      </c>
      <c r="B19" s="3"/>
      <c r="C19" s="213"/>
      <c r="D19" s="211"/>
      <c r="E19" s="213"/>
      <c r="F19" s="211"/>
      <c r="G19" s="207"/>
      <c r="H19" s="211"/>
      <c r="I19" s="211">
        <f>'5.Budget monitor'!P10</f>
        <v>1281</v>
      </c>
      <c r="J19" s="7"/>
      <c r="K19" s="215">
        <f>'3.Payments'!L103</f>
        <v>1104.8000000000002</v>
      </c>
      <c r="L19" s="7"/>
      <c r="M19" s="243">
        <f t="shared" si="2"/>
        <v>176.19999999999982</v>
      </c>
      <c r="O19" s="335">
        <f t="shared" si="3"/>
        <v>13.754879000780626</v>
      </c>
    </row>
    <row r="20" spans="1:15" ht="17" x14ac:dyDescent="0.2">
      <c r="A20" s="209" t="s">
        <v>36</v>
      </c>
      <c r="B20" s="3"/>
      <c r="C20" s="213"/>
      <c r="D20" s="211"/>
      <c r="E20" s="213"/>
      <c r="F20" s="211"/>
      <c r="G20" s="207"/>
      <c r="H20" s="211"/>
      <c r="I20" s="211">
        <f>'5.Budget monitor'!P11</f>
        <v>397</v>
      </c>
      <c r="J20" s="7"/>
      <c r="K20" s="215">
        <f>'3.Payments'!M103</f>
        <v>243.17000000000002</v>
      </c>
      <c r="L20" s="7"/>
      <c r="M20" s="242">
        <f t="shared" si="2"/>
        <v>153.82999999999998</v>
      </c>
      <c r="O20" s="335">
        <f t="shared" si="3"/>
        <v>38.74811083123425</v>
      </c>
    </row>
    <row r="21" spans="1:15" ht="17" x14ac:dyDescent="0.2">
      <c r="A21" s="209" t="s">
        <v>37</v>
      </c>
      <c r="B21" s="3"/>
      <c r="C21" s="213"/>
      <c r="D21" s="211"/>
      <c r="E21" s="213"/>
      <c r="F21" s="211"/>
      <c r="G21" s="207"/>
      <c r="H21" s="211"/>
      <c r="I21" s="211">
        <f>'5.Budget monitor'!P12</f>
        <v>246</v>
      </c>
      <c r="J21" s="7"/>
      <c r="K21" s="215">
        <f>'3.Payments'!N103</f>
        <v>0</v>
      </c>
      <c r="L21" s="7"/>
      <c r="M21" s="243">
        <f t="shared" si="2"/>
        <v>246</v>
      </c>
      <c r="O21" s="335">
        <f t="shared" si="3"/>
        <v>100</v>
      </c>
    </row>
    <row r="22" spans="1:15" ht="17" x14ac:dyDescent="0.2">
      <c r="A22" s="209" t="s">
        <v>38</v>
      </c>
      <c r="B22" s="3"/>
      <c r="C22" s="213"/>
      <c r="D22" s="211"/>
      <c r="E22" s="216"/>
      <c r="F22" s="211"/>
      <c r="G22" s="207"/>
      <c r="H22" s="211"/>
      <c r="I22" s="211">
        <f>'5.Budget monitor'!P13</f>
        <v>1600</v>
      </c>
      <c r="J22" s="7"/>
      <c r="K22" s="215">
        <f>'3.Payments'!O103</f>
        <v>1925</v>
      </c>
      <c r="L22" s="7"/>
      <c r="M22" s="243">
        <f t="shared" si="2"/>
        <v>-325</v>
      </c>
      <c r="O22" s="335">
        <f t="shared" si="3"/>
        <v>-20.3125</v>
      </c>
    </row>
    <row r="23" spans="1:15" ht="17" x14ac:dyDescent="0.2">
      <c r="A23" s="209" t="s">
        <v>39</v>
      </c>
      <c r="B23" s="7"/>
      <c r="C23" s="213"/>
      <c r="D23" s="211"/>
      <c r="E23" s="217"/>
      <c r="F23" s="211"/>
      <c r="G23" s="207"/>
      <c r="H23" s="211"/>
      <c r="I23" s="211">
        <f>'5.Budget monitor'!P14</f>
        <v>0</v>
      </c>
      <c r="J23" s="7"/>
      <c r="K23" s="215">
        <f>'3.Payments'!P103</f>
        <v>0</v>
      </c>
      <c r="L23" s="7"/>
      <c r="M23" s="242">
        <f t="shared" si="2"/>
        <v>0</v>
      </c>
      <c r="O23" s="335" t="str">
        <f t="shared" si="3"/>
        <v>N/A</v>
      </c>
    </row>
    <row r="24" spans="1:15" ht="17" x14ac:dyDescent="0.2">
      <c r="A24" s="209" t="s">
        <v>40</v>
      </c>
      <c r="B24" s="7"/>
      <c r="C24" s="213"/>
      <c r="D24" s="211"/>
      <c r="E24" s="217"/>
      <c r="F24" s="211"/>
      <c r="G24" s="207"/>
      <c r="H24" s="211"/>
      <c r="I24" s="211">
        <f>'5.Budget monitor'!P15</f>
        <v>4126</v>
      </c>
      <c r="J24" s="7"/>
      <c r="K24" s="215">
        <f>'3.Payments'!Q103</f>
        <v>1236</v>
      </c>
      <c r="L24" s="7"/>
      <c r="M24" s="243">
        <f t="shared" si="2"/>
        <v>2890</v>
      </c>
      <c r="O24" s="335">
        <f t="shared" si="3"/>
        <v>70.04362578768783</v>
      </c>
    </row>
    <row r="25" spans="1:15" ht="17" x14ac:dyDescent="0.2">
      <c r="A25" s="209" t="s">
        <v>41</v>
      </c>
      <c r="B25" s="7"/>
      <c r="C25" s="213"/>
      <c r="D25" s="211"/>
      <c r="E25" s="217"/>
      <c r="F25" s="211"/>
      <c r="G25" s="207"/>
      <c r="H25" s="211"/>
      <c r="I25" s="211">
        <f>'5.Budget monitor'!P16</f>
        <v>2400</v>
      </c>
      <c r="J25" s="7"/>
      <c r="K25" s="215"/>
      <c r="L25" s="7"/>
      <c r="M25" s="243">
        <f t="shared" si="2"/>
        <v>2400</v>
      </c>
      <c r="O25" s="335">
        <f t="shared" si="3"/>
        <v>100</v>
      </c>
    </row>
    <row r="26" spans="1:15" ht="17" x14ac:dyDescent="0.2">
      <c r="A26" s="209" t="s">
        <v>42</v>
      </c>
      <c r="B26" s="7"/>
      <c r="C26" s="213"/>
      <c r="D26" s="211"/>
      <c r="E26" s="217"/>
      <c r="F26" s="211"/>
      <c r="G26" s="207"/>
      <c r="H26" s="211"/>
      <c r="I26" s="211">
        <f>'5.Budget monitor'!P17</f>
        <v>1265</v>
      </c>
      <c r="J26" s="7"/>
      <c r="K26" s="215">
        <f>'3.Payments'!S103</f>
        <v>15442.58</v>
      </c>
      <c r="L26" s="7"/>
      <c r="M26" s="243">
        <f t="shared" si="2"/>
        <v>-14177.58</v>
      </c>
      <c r="O26" s="335">
        <f t="shared" si="3"/>
        <v>-1120.7573122529645</v>
      </c>
    </row>
    <row r="27" spans="1:15" ht="17" x14ac:dyDescent="0.2">
      <c r="A27" s="208" t="s">
        <v>44</v>
      </c>
      <c r="B27" s="7"/>
      <c r="C27" s="213"/>
      <c r="D27" s="211"/>
      <c r="E27" s="217"/>
      <c r="F27" s="211"/>
      <c r="G27" s="207"/>
      <c r="H27" s="211"/>
      <c r="I27" s="211">
        <f>'5.Budget monitor'!P18</f>
        <v>0</v>
      </c>
      <c r="J27" s="7"/>
      <c r="K27" s="215">
        <f>'3.Payments'!T103</f>
        <v>73</v>
      </c>
      <c r="L27" s="7"/>
      <c r="M27" s="242">
        <f t="shared" si="2"/>
        <v>-73</v>
      </c>
      <c r="O27" s="335" t="str">
        <f t="shared" si="3"/>
        <v>N/A</v>
      </c>
    </row>
    <row r="28" spans="1:15" ht="17" x14ac:dyDescent="0.2">
      <c r="A28" s="208" t="s">
        <v>185</v>
      </c>
      <c r="B28" s="7"/>
      <c r="C28" s="213"/>
      <c r="D28" s="211"/>
      <c r="E28" s="217"/>
      <c r="F28" s="211"/>
      <c r="G28" s="207"/>
      <c r="H28" s="211"/>
      <c r="I28" s="211">
        <f>'5.Budget monitor'!P21+C8</f>
        <v>6892</v>
      </c>
      <c r="J28" s="7"/>
      <c r="K28" s="215">
        <f>'3.Payments'!U103</f>
        <v>8883.1999999999989</v>
      </c>
      <c r="L28" s="7"/>
      <c r="M28" s="243">
        <f t="shared" si="2"/>
        <v>-1991.1999999999989</v>
      </c>
      <c r="O28" s="335">
        <f t="shared" si="3"/>
        <v>-28.891468369123604</v>
      </c>
    </row>
    <row r="29" spans="1:15" ht="17" x14ac:dyDescent="0.2">
      <c r="A29" s="208" t="s">
        <v>89</v>
      </c>
      <c r="B29" s="7"/>
      <c r="C29" s="213"/>
      <c r="D29" s="211"/>
      <c r="E29" s="217"/>
      <c r="F29" s="211"/>
      <c r="G29" s="207"/>
      <c r="H29" s="211"/>
      <c r="I29" s="211">
        <f>'5.Budget monitor'!P20</f>
        <v>0</v>
      </c>
      <c r="J29" s="7"/>
      <c r="K29" s="215">
        <f>'3.Payments'!V103</f>
        <v>0</v>
      </c>
      <c r="L29" s="7"/>
      <c r="M29" s="211">
        <f t="shared" si="2"/>
        <v>0</v>
      </c>
      <c r="O29" s="335" t="str">
        <f t="shared" si="3"/>
        <v>N/A</v>
      </c>
    </row>
    <row r="30" spans="1:15" ht="16" x14ac:dyDescent="0.2">
      <c r="A30" s="208"/>
      <c r="B30" s="7"/>
      <c r="C30" s="213"/>
      <c r="D30" s="211"/>
      <c r="E30" s="229"/>
      <c r="F30" s="216"/>
      <c r="G30" s="230"/>
      <c r="H30" s="216"/>
      <c r="I30" s="216"/>
      <c r="J30" s="13"/>
      <c r="K30" s="13"/>
      <c r="L30" s="13"/>
      <c r="M30" s="13"/>
    </row>
    <row r="31" spans="1:15" ht="17" thickBot="1" x14ac:dyDescent="0.25">
      <c r="A31" s="219"/>
      <c r="B31" s="219"/>
      <c r="C31" s="224"/>
      <c r="D31" s="224"/>
      <c r="E31" s="224"/>
      <c r="F31" s="224"/>
      <c r="G31" s="224"/>
      <c r="H31" s="224"/>
      <c r="I31" s="224"/>
      <c r="J31" s="222"/>
      <c r="K31" s="222"/>
      <c r="L31" s="222"/>
      <c r="M31" s="222"/>
    </row>
    <row r="32" spans="1:15" ht="16" x14ac:dyDescent="0.2">
      <c r="A32" s="2" t="s">
        <v>165</v>
      </c>
      <c r="B32" s="2"/>
      <c r="C32" s="216">
        <f>SUM(C6:C29)</f>
        <v>28469.73</v>
      </c>
      <c r="D32" s="216"/>
      <c r="E32" s="216">
        <f>SUM(E6:E29)</f>
        <v>47012.15</v>
      </c>
      <c r="F32" s="216"/>
      <c r="G32" s="216">
        <f>SUM(G6:G29)</f>
        <v>-18542.419999999998</v>
      </c>
      <c r="H32" s="216"/>
      <c r="I32" s="216">
        <f>SUM(I6:I29)</f>
        <v>28105</v>
      </c>
      <c r="J32" s="239"/>
      <c r="K32" s="216">
        <f>SUM(K6:K29)</f>
        <v>37785.599999999999</v>
      </c>
      <c r="L32" s="239"/>
      <c r="M32" s="216">
        <f>SUM(M6:M29)</f>
        <v>-9680.5999999999985</v>
      </c>
    </row>
    <row r="33" spans="5:5" x14ac:dyDescent="0.2">
      <c r="E33" s="244"/>
    </row>
  </sheetData>
  <mergeCells count="2">
    <mergeCell ref="A1:P1"/>
    <mergeCell ref="A2:P2"/>
  </mergeCells>
  <phoneticPr fontId="28" type="noConversion"/>
  <pageMargins left="0.70000000000000007" right="0.70000000000000007" top="0.75000000000000011" bottom="0.75000000000000011" header="0.30000000000000004" footer="0.30000000000000004"/>
  <pageSetup paperSize="9" scale="95" orientation="landscape" horizontalDpi="4294967293" verticalDpi="4294967293"/>
  <headerFooter alignWithMargins="0">
    <oddHeader>&amp;R&amp;"Calibri,Regular"&amp;K000000&amp;A              &amp;D</oddHeader>
    <oddFooter>&amp;C&amp;"Calibri,Regular"&amp;12&amp;K000000Kirton &amp; Falkenham Parish Council Financial report 2025/26</oddFooter>
  </headerFooter>
  <ignoredErrors>
    <ignoredError sqref="G7 I27 I29 C32:M32 G8:G14 O10:O11 O13" emptyCellReferenc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8913-F9E4-6948-8AF4-D593E91FC2BF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1.Bank Balance</vt:lpstr>
      <vt:lpstr>2.Receipts</vt:lpstr>
      <vt:lpstr>3.Payments</vt:lpstr>
      <vt:lpstr>4.Bank Reconciliation</vt:lpstr>
      <vt:lpstr>5.Budget monitor</vt:lpstr>
      <vt:lpstr>6.25-26 budget (approved)</vt:lpstr>
      <vt:lpstr>7.26-27 budget (Approved)</vt:lpstr>
      <vt:lpstr>8.Statement of accounts</vt:lpstr>
      <vt:lpstr>9.Summary of Rxs &amp; Pmts</vt:lpstr>
      <vt:lpstr>Sheet1</vt:lpstr>
      <vt:lpstr>'1.Bank Balance'!Print_Area</vt:lpstr>
      <vt:lpstr>'2.Receipts'!Print_Area</vt:lpstr>
      <vt:lpstr>'3.Payments'!Print_Area</vt:lpstr>
      <vt:lpstr>'4.Bank Reconciliation'!Print_Area</vt:lpstr>
      <vt:lpstr>'5.Budget monitor'!Print_Area</vt:lpstr>
      <vt:lpstr>'6.25-26 budget (approved)'!Print_Area</vt:lpstr>
      <vt:lpstr>'7.26-27 budget (Approved)'!Print_Area</vt:lpstr>
      <vt:lpstr>'8.Statement of accounts'!Print_Area</vt:lpstr>
      <vt:lpstr>'9.Summary of Rxs &amp; Pmts'!Print_Area</vt:lpstr>
      <vt:lpstr>'3.Payments'!Print_Titles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Graham Walker</dc:creator>
  <cp:keywords/>
  <dc:description/>
  <cp:lastModifiedBy>kandfpc@gmail.com</cp:lastModifiedBy>
  <cp:lastPrinted>2026-04-01T12:49:01Z</cp:lastPrinted>
  <dcterms:created xsi:type="dcterms:W3CDTF">2017-11-19T09:49:34Z</dcterms:created>
  <dcterms:modified xsi:type="dcterms:W3CDTF">2026-09-07T15:29:36Z</dcterms:modified>
  <cp:category/>
</cp:coreProperties>
</file>